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codeName="DieseArbeitsmappe"/>
  <mc:AlternateContent xmlns:mc="http://schemas.openxmlformats.org/markup-compatibility/2006">
    <mc:Choice Requires="x15">
      <x15ac:absPath xmlns:x15ac="http://schemas.microsoft.com/office/spreadsheetml/2010/11/ac" url="/Users/marcoringens/Documents/Der Betreuungsbro/Webshop/Vorlagen zum Kostenlosen Download/Digitale Produkte/Tabelle Einnahmenplanung, -übersicht  und Vergütungsanträge/"/>
    </mc:Choice>
  </mc:AlternateContent>
  <xr:revisionPtr revIDLastSave="0" documentId="13_ncr:1_{A43E4110-D3B7-D641-867A-3C3FCF9F39D3}" xr6:coauthVersionLast="47" xr6:coauthVersionMax="47" xr10:uidLastSave="{00000000-0000-0000-0000-000000000000}"/>
  <bookViews>
    <workbookView xWindow="0" yWindow="500" windowWidth="44800" windowHeight="23000" activeTab="1" xr2:uid="{00000000-000D-0000-FFFF-FFFF00000000}"/>
  </bookViews>
  <sheets>
    <sheet name="Anleitung" sheetId="1" r:id="rId1"/>
    <sheet name="Aktuelle Einnahmen" sheetId="2" r:id="rId2"/>
    <sheet name="Vergütungsantrag ohne Wechsel" sheetId="3" r:id="rId3"/>
    <sheet name="Wechsel Kategorie" sheetId="10" r:id="rId4"/>
    <sheet name="Wechsel Beginn - Ende" sheetId="4" r:id="rId5"/>
    <sheet name="ges. Pauschalen" sheetId="5" r:id="rId6"/>
    <sheet name="Übersicht Anträge _ Einnahmen" sheetId="7" r:id="rId7"/>
    <sheet name="Übersicht für Steuer" sheetId="8" r:id="rId8"/>
  </sheets>
  <externalReferences>
    <externalReference r:id="rId9"/>
  </externalReferences>
  <definedNames>
    <definedName name="_xlnm.Print_Area" localSheetId="0">Anleitung!$A$1:$G$42</definedName>
    <definedName name="_xlnm.Print_Area" localSheetId="7">'Übersicht für Steuer'!$A$1:$B$10</definedName>
    <definedName name="_xlnm.Print_Area" localSheetId="2">'Vergütungsantrag ohne Wechsel'!$A$1:$S$29</definedName>
    <definedName name="_xlnm.Print_Area" localSheetId="4">'Wechsel Beginn - Ende'!$A$1:$S$46</definedName>
    <definedName name="_xlnm.Print_Area" localSheetId="3">'Wechsel Kategorie'!$A$1:$S$42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 i="2" l="1"/>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6" i="2"/>
  <c r="L10" i="7"/>
  <c r="K10" i="7"/>
  <c r="K12" i="7" s="1"/>
  <c r="AC7" i="2"/>
  <c r="AC8" i="2"/>
  <c r="AC9" i="2"/>
  <c r="AC10" i="2"/>
  <c r="AC11" i="2"/>
  <c r="AC12" i="2"/>
  <c r="AC13" i="2"/>
  <c r="AC14" i="2"/>
  <c r="AC15" i="2"/>
  <c r="AC16" i="2"/>
  <c r="AC17" i="2"/>
  <c r="AC18" i="2"/>
  <c r="AC19" i="2"/>
  <c r="AC20" i="2"/>
  <c r="AC21" i="2"/>
  <c r="AC22" i="2"/>
  <c r="AC23" i="2"/>
  <c r="AC24" i="2"/>
  <c r="AC25" i="2"/>
  <c r="AC26" i="2"/>
  <c r="AC27" i="2"/>
  <c r="AC28" i="2"/>
  <c r="AC29" i="2"/>
  <c r="AC30" i="2"/>
  <c r="AC31" i="2"/>
  <c r="AC32" i="2"/>
  <c r="AC33" i="2"/>
  <c r="AC34" i="2"/>
  <c r="AC35" i="2"/>
  <c r="AC36" i="2"/>
  <c r="AC37" i="2"/>
  <c r="AC38" i="2"/>
  <c r="AC39" i="2"/>
  <c r="AC40" i="2"/>
  <c r="AC41" i="2"/>
  <c r="AC42" i="2"/>
  <c r="AC43" i="2"/>
  <c r="AC44" i="2"/>
  <c r="AC45" i="2"/>
  <c r="AC46" i="2"/>
  <c r="AC47" i="2"/>
  <c r="AC48" i="2"/>
  <c r="AC49" i="2"/>
  <c r="AC50" i="2"/>
  <c r="AC51" i="2"/>
  <c r="AC52" i="2"/>
  <c r="AC53" i="2"/>
  <c r="AC54" i="2"/>
  <c r="AC55" i="2"/>
  <c r="AC56" i="2"/>
  <c r="AC57" i="2"/>
  <c r="AC58" i="2"/>
  <c r="AC59" i="2"/>
  <c r="AC60" i="2"/>
  <c r="AC61" i="2"/>
  <c r="AC62" i="2"/>
  <c r="AC63" i="2"/>
  <c r="AC64" i="2"/>
  <c r="AC65" i="2"/>
  <c r="AC66" i="2"/>
  <c r="AC67" i="2"/>
  <c r="AC68" i="2"/>
  <c r="AC69" i="2"/>
  <c r="AC70" i="2"/>
  <c r="AC71" i="2"/>
  <c r="AC72" i="2"/>
  <c r="AC73" i="2"/>
  <c r="AC74" i="2"/>
  <c r="AC75" i="2"/>
  <c r="AC76" i="2"/>
  <c r="AC77" i="2"/>
  <c r="AC78" i="2"/>
  <c r="AC79" i="2"/>
  <c r="AC80" i="2"/>
  <c r="AC81" i="2"/>
  <c r="AC82" i="2"/>
  <c r="AC83" i="2"/>
  <c r="AC84" i="2"/>
  <c r="AC85" i="2"/>
  <c r="AC86" i="2"/>
  <c r="AC87" i="2"/>
  <c r="AC88" i="2"/>
  <c r="AC89" i="2"/>
  <c r="AC90" i="2"/>
  <c r="AC91" i="2"/>
  <c r="AC92" i="2"/>
  <c r="AC93" i="2"/>
  <c r="AC94" i="2"/>
  <c r="AC95" i="2"/>
  <c r="AC96" i="2"/>
  <c r="AC97" i="2"/>
  <c r="AC98" i="2"/>
  <c r="AC99" i="2"/>
  <c r="AC100" i="2"/>
  <c r="AC101" i="2"/>
  <c r="AC102" i="2"/>
  <c r="AC103" i="2"/>
  <c r="AC104" i="2"/>
  <c r="AC6" i="2"/>
  <c r="S22" i="4"/>
  <c r="BO10" i="7"/>
  <c r="BO11" i="7"/>
  <c r="BO12" i="7"/>
  <c r="BO13" i="7"/>
  <c r="BO14" i="7"/>
  <c r="BO15" i="7"/>
  <c r="BO16" i="7"/>
  <c r="BO17" i="7"/>
  <c r="BO18" i="7"/>
  <c r="BO19" i="7"/>
  <c r="BO20" i="7"/>
  <c r="BO21" i="7"/>
  <c r="BO22" i="7"/>
  <c r="BO23" i="7"/>
  <c r="BO24" i="7"/>
  <c r="BO25" i="7"/>
  <c r="BO26" i="7"/>
  <c r="BO27" i="7"/>
  <c r="BO28" i="7"/>
  <c r="BO29" i="7"/>
  <c r="BO30" i="7"/>
  <c r="BO31" i="7"/>
  <c r="BO32" i="7"/>
  <c r="BO33" i="7"/>
  <c r="BO34" i="7"/>
  <c r="BO35" i="7"/>
  <c r="BO36" i="7"/>
  <c r="BO37" i="7"/>
  <c r="BO38" i="7"/>
  <c r="BO39" i="7"/>
  <c r="BO40" i="7"/>
  <c r="BO41" i="7"/>
  <c r="BO9" i="7"/>
  <c r="BN9" i="7"/>
  <c r="BG10" i="7"/>
  <c r="BG11" i="7"/>
  <c r="BG12" i="7"/>
  <c r="BG13" i="7"/>
  <c r="BG14" i="7"/>
  <c r="BG15" i="7"/>
  <c r="BG16" i="7"/>
  <c r="BG17" i="7"/>
  <c r="BG18" i="7"/>
  <c r="BG19" i="7"/>
  <c r="BG20" i="7"/>
  <c r="BG21" i="7"/>
  <c r="BG22" i="7"/>
  <c r="BG23" i="7"/>
  <c r="BG24" i="7"/>
  <c r="BG25" i="7"/>
  <c r="BG26" i="7"/>
  <c r="BG27" i="7"/>
  <c r="BG28" i="7"/>
  <c r="BG29" i="7"/>
  <c r="BG30" i="7"/>
  <c r="BG31" i="7"/>
  <c r="BG32" i="7"/>
  <c r="BG33" i="7"/>
  <c r="BG34" i="7"/>
  <c r="BG35" i="7"/>
  <c r="BG36" i="7"/>
  <c r="BG37" i="7"/>
  <c r="BG38" i="7"/>
  <c r="BG39" i="7"/>
  <c r="BG40" i="7"/>
  <c r="BG41" i="7"/>
  <c r="BG9" i="7"/>
  <c r="BF9" i="7"/>
  <c r="AY10" i="7"/>
  <c r="AY11" i="7"/>
  <c r="AY12" i="7"/>
  <c r="AY13" i="7"/>
  <c r="AY14" i="7"/>
  <c r="AY15" i="7"/>
  <c r="AY16" i="7"/>
  <c r="AY17" i="7"/>
  <c r="AY18" i="7"/>
  <c r="AY19" i="7"/>
  <c r="AY20" i="7"/>
  <c r="AY21" i="7"/>
  <c r="AY22" i="7"/>
  <c r="AY23" i="7"/>
  <c r="AY24" i="7"/>
  <c r="AY25" i="7"/>
  <c r="AY26" i="7"/>
  <c r="AY27" i="7"/>
  <c r="AY28" i="7"/>
  <c r="AY29" i="7"/>
  <c r="AY30" i="7"/>
  <c r="AY31" i="7"/>
  <c r="AY32" i="7"/>
  <c r="AY33" i="7"/>
  <c r="AY34" i="7"/>
  <c r="AY35" i="7"/>
  <c r="AY36" i="7"/>
  <c r="AY37" i="7"/>
  <c r="AY38" i="7"/>
  <c r="AY39" i="7"/>
  <c r="AY40" i="7"/>
  <c r="AY41" i="7"/>
  <c r="AY9" i="7"/>
  <c r="AX9" i="7"/>
  <c r="AT9" i="7" a="1"/>
  <c r="AT9" i="7" s="1"/>
  <c r="AU9" i="7" a="1"/>
  <c r="AU9" i="7" s="1"/>
  <c r="AV9" i="7" a="1"/>
  <c r="AV9" i="7" s="1"/>
  <c r="C2" i="7"/>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05" i="4"/>
  <c r="A106" i="4"/>
  <c r="A107" i="4"/>
  <c r="A108" i="4"/>
  <c r="A109" i="4"/>
  <c r="A110" i="4"/>
  <c r="A111" i="4"/>
  <c r="A112" i="4"/>
  <c r="A113" i="4"/>
  <c r="A114" i="4"/>
  <c r="A115" i="4"/>
  <c r="A116" i="4"/>
  <c r="A117" i="4"/>
  <c r="A118" i="4"/>
  <c r="A119" i="4"/>
  <c r="A120" i="4"/>
  <c r="A82" i="4"/>
  <c r="A83" i="4"/>
  <c r="A84" i="4"/>
  <c r="A85" i="4"/>
  <c r="A86" i="4"/>
  <c r="A87" i="4"/>
  <c r="A88" i="4"/>
  <c r="A89" i="4"/>
  <c r="A90" i="4"/>
  <c r="A91" i="4"/>
  <c r="A92" i="4"/>
  <c r="A93" i="4"/>
  <c r="A94" i="4"/>
  <c r="A95" i="4"/>
  <c r="A96" i="4"/>
  <c r="A97" i="4"/>
  <c r="A98" i="4"/>
  <c r="A99" i="4"/>
  <c r="A100" i="4"/>
  <c r="A101" i="4"/>
  <c r="A102" i="4"/>
  <c r="A103" i="4"/>
  <c r="A104"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49" i="4"/>
  <c r="M45" i="10"/>
  <c r="G50" i="4"/>
  <c r="G51" i="4"/>
  <c r="G52" i="4"/>
  <c r="G53" i="4"/>
  <c r="G54" i="4"/>
  <c r="G55" i="4"/>
  <c r="G56" i="4"/>
  <c r="G57" i="4"/>
  <c r="G58" i="4"/>
  <c r="G59" i="4"/>
  <c r="G60" i="4"/>
  <c r="G61" i="4"/>
  <c r="G62" i="4"/>
  <c r="G63" i="4"/>
  <c r="G64" i="4"/>
  <c r="G65" i="4"/>
  <c r="G66" i="4"/>
  <c r="G67" i="4"/>
  <c r="G68" i="4"/>
  <c r="G69" i="4"/>
  <c r="G70" i="4"/>
  <c r="G71" i="4"/>
  <c r="G72" i="4"/>
  <c r="G73" i="4"/>
  <c r="G74" i="4"/>
  <c r="G75" i="4"/>
  <c r="G76" i="4"/>
  <c r="G77" i="4"/>
  <c r="G78" i="4"/>
  <c r="G79" i="4"/>
  <c r="G80" i="4"/>
  <c r="G81" i="4"/>
  <c r="G49" i="4"/>
  <c r="G45" i="10"/>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49" i="4"/>
  <c r="A45" i="10"/>
  <c r="S5" i="4"/>
  <c r="R5" i="4"/>
  <c r="Q5" i="4"/>
  <c r="AK5" i="7"/>
  <c r="AG5" i="7"/>
  <c r="AC5" i="7"/>
  <c r="Y5" i="7"/>
  <c r="U5" i="7"/>
  <c r="AG3" i="7"/>
  <c r="AG6" i="7" s="1"/>
  <c r="AC3" i="7"/>
  <c r="Y3" i="7"/>
  <c r="U3" i="7"/>
  <c r="D3" i="7" s="1"/>
  <c r="AK3" i="7"/>
  <c r="A26" i="4"/>
  <c r="G39" i="4"/>
  <c r="A8" i="10"/>
  <c r="H42" i="4"/>
  <c r="G35" i="4" s="1"/>
  <c r="AK6" i="7" l="1"/>
  <c r="Y6" i="7"/>
  <c r="AC6" i="7"/>
  <c r="U6" i="7"/>
  <c r="A45" i="4"/>
  <c r="A41" i="10"/>
  <c r="A28" i="3"/>
  <c r="AM872" i="7"/>
  <c r="AN874" i="7"/>
  <c r="AO876" i="7"/>
  <c r="AP958" i="7"/>
  <c r="AO956" i="7"/>
  <c r="AN954" i="7"/>
  <c r="AM952" i="7"/>
  <c r="AP948" i="7"/>
  <c r="AO946" i="7"/>
  <c r="AN944" i="7"/>
  <c r="AM942" i="7"/>
  <c r="AP938" i="7"/>
  <c r="AO936" i="7"/>
  <c r="AN934" i="7"/>
  <c r="AM932" i="7"/>
  <c r="AP928" i="7"/>
  <c r="AO926" i="7"/>
  <c r="AN924" i="7"/>
  <c r="AM922" i="7"/>
  <c r="AP918" i="7"/>
  <c r="AO916" i="7"/>
  <c r="AN914" i="7"/>
  <c r="AM912" i="7"/>
  <c r="AP908" i="7"/>
  <c r="AO906" i="7"/>
  <c r="AN904" i="7"/>
  <c r="AM902" i="7"/>
  <c r="AP898" i="7"/>
  <c r="AO896" i="7"/>
  <c r="AN894" i="7"/>
  <c r="AM892" i="7"/>
  <c r="AP888" i="7"/>
  <c r="AO886" i="7"/>
  <c r="AN884" i="7"/>
  <c r="AM882" i="7"/>
  <c r="AP878" i="7"/>
  <c r="AP868" i="7"/>
  <c r="AO866" i="7"/>
  <c r="AN864" i="7"/>
  <c r="AM862" i="7"/>
  <c r="AP858" i="7"/>
  <c r="AO856" i="7"/>
  <c r="AN854" i="7"/>
  <c r="AM852" i="7"/>
  <c r="AP848" i="7"/>
  <c r="AO846" i="7"/>
  <c r="AN844" i="7"/>
  <c r="AM842" i="7"/>
  <c r="AP838" i="7"/>
  <c r="AO836" i="7"/>
  <c r="AN834" i="7"/>
  <c r="AM832" i="7"/>
  <c r="AP828" i="7"/>
  <c r="AO826" i="7"/>
  <c r="AN824" i="7"/>
  <c r="AM822" i="7"/>
  <c r="AP818" i="7"/>
  <c r="AO816" i="7"/>
  <c r="AN814" i="7"/>
  <c r="AM812" i="7"/>
  <c r="AP808" i="7"/>
  <c r="AO806" i="7"/>
  <c r="AN804" i="7"/>
  <c r="AM802" i="7"/>
  <c r="AP798" i="7"/>
  <c r="AO796" i="7"/>
  <c r="AN794" i="7"/>
  <c r="AM792" i="7"/>
  <c r="AP788" i="7"/>
  <c r="AO786" i="7"/>
  <c r="AN784" i="7"/>
  <c r="AM782" i="7"/>
  <c r="AP778" i="7"/>
  <c r="AO776" i="7"/>
  <c r="AN774" i="7"/>
  <c r="AM772" i="7"/>
  <c r="AP768" i="7"/>
  <c r="AO766" i="7"/>
  <c r="AN764" i="7"/>
  <c r="AM762" i="7"/>
  <c r="AP758" i="7"/>
  <c r="AO756" i="7"/>
  <c r="AN754" i="7"/>
  <c r="AM752" i="7"/>
  <c r="AP748" i="7"/>
  <c r="AO746" i="7"/>
  <c r="AN744" i="7"/>
  <c r="AM742" i="7"/>
  <c r="AP738" i="7"/>
  <c r="AO736" i="7"/>
  <c r="AN734" i="7"/>
  <c r="AM732" i="7"/>
  <c r="AP728" i="7"/>
  <c r="AO726" i="7"/>
  <c r="AN724" i="7"/>
  <c r="AM722" i="7"/>
  <c r="AP718" i="7"/>
  <c r="AO716" i="7"/>
  <c r="AN714" i="7"/>
  <c r="AM712" i="7"/>
  <c r="AP708" i="7"/>
  <c r="AO706" i="7"/>
  <c r="AN704" i="7"/>
  <c r="AM702" i="7"/>
  <c r="AP698" i="7"/>
  <c r="AO696" i="7"/>
  <c r="AN694" i="7"/>
  <c r="AM692" i="7"/>
  <c r="AP688" i="7"/>
  <c r="AO686" i="7"/>
  <c r="AN684" i="7"/>
  <c r="AM682" i="7"/>
  <c r="AP678" i="7"/>
  <c r="AO676" i="7"/>
  <c r="AN674" i="7"/>
  <c r="AM672" i="7"/>
  <c r="AP668" i="7"/>
  <c r="AO666" i="7"/>
  <c r="AN664" i="7"/>
  <c r="AM662" i="7"/>
  <c r="AP658" i="7"/>
  <c r="AO656" i="7"/>
  <c r="AN654" i="7"/>
  <c r="AM652" i="7"/>
  <c r="AP648" i="7"/>
  <c r="AO646" i="7"/>
  <c r="AN644" i="7"/>
  <c r="AM642" i="7"/>
  <c r="AP638" i="7"/>
  <c r="AO636" i="7"/>
  <c r="AN634" i="7"/>
  <c r="AM632" i="7"/>
  <c r="AP628" i="7"/>
  <c r="AO626" i="7"/>
  <c r="AN624" i="7"/>
  <c r="AM622" i="7"/>
  <c r="AP618" i="7"/>
  <c r="AO616" i="7"/>
  <c r="AN614" i="7"/>
  <c r="AM612" i="7"/>
  <c r="AP608" i="7"/>
  <c r="AO606" i="7"/>
  <c r="AN604" i="7"/>
  <c r="AM602" i="7"/>
  <c r="AP598" i="7"/>
  <c r="AO596" i="7"/>
  <c r="AN594" i="7"/>
  <c r="AM592" i="7"/>
  <c r="AP588" i="7"/>
  <c r="AO586" i="7"/>
  <c r="AN584" i="7"/>
  <c r="AM582" i="7"/>
  <c r="AP578" i="7"/>
  <c r="AO576" i="7"/>
  <c r="AN574" i="7"/>
  <c r="AM572" i="7"/>
  <c r="AP568" i="7"/>
  <c r="AO566" i="7"/>
  <c r="AN564" i="7"/>
  <c r="AM562" i="7"/>
  <c r="AP558" i="7"/>
  <c r="AO556" i="7"/>
  <c r="AN554" i="7"/>
  <c r="AM552" i="7"/>
  <c r="AP548" i="7"/>
  <c r="AO546" i="7"/>
  <c r="AN544" i="7"/>
  <c r="AM542" i="7"/>
  <c r="AP538" i="7"/>
  <c r="AO536" i="7"/>
  <c r="AN534" i="7"/>
  <c r="AM532" i="7"/>
  <c r="AP528" i="7"/>
  <c r="AO526" i="7"/>
  <c r="AN524" i="7"/>
  <c r="AM522" i="7"/>
  <c r="AP518" i="7"/>
  <c r="AO516" i="7"/>
  <c r="AN514" i="7"/>
  <c r="AM512" i="7"/>
  <c r="AP508" i="7"/>
  <c r="AO506" i="7"/>
  <c r="AN504" i="7"/>
  <c r="AM502" i="7"/>
  <c r="AP498" i="7"/>
  <c r="AO496" i="7"/>
  <c r="AN494" i="7"/>
  <c r="AM492" i="7"/>
  <c r="AP488" i="7"/>
  <c r="AO486" i="7"/>
  <c r="AN484" i="7"/>
  <c r="AM482" i="7"/>
  <c r="AP478" i="7"/>
  <c r="AO476" i="7"/>
  <c r="AN474" i="7"/>
  <c r="AM472" i="7"/>
  <c r="AP468" i="7"/>
  <c r="AO466" i="7"/>
  <c r="AN464" i="7"/>
  <c r="AM462" i="7"/>
  <c r="AP458" i="7"/>
  <c r="AO456" i="7"/>
  <c r="AN454" i="7"/>
  <c r="AM452" i="7"/>
  <c r="AP448" i="7"/>
  <c r="AO446" i="7"/>
  <c r="AN444" i="7"/>
  <c r="AM442" i="7"/>
  <c r="AP438" i="7"/>
  <c r="AO436" i="7"/>
  <c r="AN434" i="7"/>
  <c r="AM432" i="7"/>
  <c r="AP428" i="7"/>
  <c r="AO426" i="7"/>
  <c r="AN424" i="7"/>
  <c r="AM422" i="7"/>
  <c r="AP418" i="7"/>
  <c r="AO416" i="7"/>
  <c r="AN414" i="7"/>
  <c r="AM412" i="7"/>
  <c r="AP408" i="7"/>
  <c r="AO406" i="7"/>
  <c r="AN404" i="7"/>
  <c r="AM402" i="7"/>
  <c r="AP398" i="7"/>
  <c r="AO396" i="7"/>
  <c r="AN394" i="7"/>
  <c r="AM392" i="7"/>
  <c r="AP388" i="7"/>
  <c r="AO386" i="7"/>
  <c r="AN384" i="7"/>
  <c r="AM382" i="7"/>
  <c r="AP378" i="7"/>
  <c r="AO376" i="7"/>
  <c r="AN374" i="7"/>
  <c r="AM372" i="7"/>
  <c r="AP368" i="7"/>
  <c r="AO366" i="7"/>
  <c r="AN364" i="7"/>
  <c r="AM362" i="7"/>
  <c r="AP358" i="7"/>
  <c r="AO356" i="7"/>
  <c r="AN354" i="7"/>
  <c r="AM352" i="7"/>
  <c r="AP348" i="7"/>
  <c r="AO346" i="7"/>
  <c r="AN344" i="7"/>
  <c r="AM342" i="7"/>
  <c r="AP338" i="7"/>
  <c r="AO336" i="7"/>
  <c r="AN334" i="7"/>
  <c r="AM332" i="7"/>
  <c r="AP328" i="7"/>
  <c r="AO326" i="7"/>
  <c r="AN324" i="7"/>
  <c r="AM322" i="7"/>
  <c r="AP318" i="7"/>
  <c r="AO316" i="7"/>
  <c r="AN314" i="7"/>
  <c r="AM312" i="7"/>
  <c r="AP308" i="7"/>
  <c r="AO306" i="7"/>
  <c r="AN304" i="7"/>
  <c r="AM302" i="7"/>
  <c r="AP298" i="7"/>
  <c r="AO296" i="7"/>
  <c r="AN294" i="7"/>
  <c r="AM292" i="7"/>
  <c r="AP288" i="7"/>
  <c r="AO286" i="7"/>
  <c r="AN284" i="7"/>
  <c r="AM282" i="7"/>
  <c r="AP278" i="7"/>
  <c r="AO276" i="7"/>
  <c r="AN274" i="7"/>
  <c r="AM272" i="7"/>
  <c r="AP268" i="7"/>
  <c r="AO266" i="7"/>
  <c r="AN264" i="7"/>
  <c r="AM262" i="7"/>
  <c r="AP258" i="7"/>
  <c r="AP1028" i="7" s="1"/>
  <c r="AO256" i="7"/>
  <c r="AO1028" i="7" s="1"/>
  <c r="AN254" i="7"/>
  <c r="AN1028" i="7" s="1"/>
  <c r="AM252" i="7"/>
  <c r="AM1028" i="7" s="1"/>
  <c r="AP248" i="7"/>
  <c r="AP1027" i="7" s="1"/>
  <c r="AO246" i="7"/>
  <c r="AO1027" i="7" s="1"/>
  <c r="AN244" i="7"/>
  <c r="AN1027" i="7" s="1"/>
  <c r="AM242" i="7"/>
  <c r="AM1027" i="7" s="1"/>
  <c r="AP238" i="7"/>
  <c r="AP1026" i="7" s="1"/>
  <c r="AO236" i="7"/>
  <c r="AO1026" i="7" s="1"/>
  <c r="AN234" i="7"/>
  <c r="AN1026" i="7" s="1"/>
  <c r="AM232" i="7"/>
  <c r="AM1026" i="7" s="1"/>
  <c r="AP228" i="7"/>
  <c r="AP1025" i="7" s="1"/>
  <c r="AO226" i="7"/>
  <c r="AO1025" i="7" s="1"/>
  <c r="AN224" i="7"/>
  <c r="AN1025" i="7" s="1"/>
  <c r="AM222" i="7"/>
  <c r="AM1025" i="7" s="1"/>
  <c r="AP218" i="7"/>
  <c r="AP1024" i="7" s="1"/>
  <c r="AO216" i="7"/>
  <c r="AO1024" i="7" s="1"/>
  <c r="AN214" i="7"/>
  <c r="AN1024" i="7" s="1"/>
  <c r="AM212" i="7"/>
  <c r="AM1024" i="7" s="1"/>
  <c r="AP208" i="7"/>
  <c r="AP1023" i="7" s="1"/>
  <c r="AO206" i="7"/>
  <c r="AO1023" i="7" s="1"/>
  <c r="AN204" i="7"/>
  <c r="AN1023" i="7" s="1"/>
  <c r="AM202" i="7"/>
  <c r="AM1023" i="7" s="1"/>
  <c r="AP198" i="7"/>
  <c r="AP1022" i="7" s="1"/>
  <c r="AO196" i="7"/>
  <c r="AN194" i="7"/>
  <c r="AN1022" i="7" s="1"/>
  <c r="AM192" i="7"/>
  <c r="AM1022" i="7" s="1"/>
  <c r="AP188" i="7"/>
  <c r="AP1021" i="7" s="1"/>
  <c r="AO186" i="7"/>
  <c r="AO1021" i="7" s="1"/>
  <c r="AN184" i="7"/>
  <c r="AN1021" i="7" s="1"/>
  <c r="AM182" i="7"/>
  <c r="AM1021" i="7" s="1"/>
  <c r="AP178" i="7"/>
  <c r="AP1020" i="7" s="1"/>
  <c r="AO176" i="7"/>
  <c r="AO1020" i="7" s="1"/>
  <c r="AN174" i="7"/>
  <c r="AN1020" i="7" s="1"/>
  <c r="AM172" i="7"/>
  <c r="AM1020" i="7" s="1"/>
  <c r="AP168" i="7"/>
  <c r="AP1019" i="7" s="1"/>
  <c r="AO166" i="7"/>
  <c r="AO1019" i="7" s="1"/>
  <c r="AN164" i="7"/>
  <c r="AN1019" i="7" s="1"/>
  <c r="AM162" i="7"/>
  <c r="AM1019" i="7" s="1"/>
  <c r="AP158" i="7"/>
  <c r="AP1018" i="7" s="1"/>
  <c r="AO156" i="7"/>
  <c r="AO1018" i="7" s="1"/>
  <c r="AN154" i="7"/>
  <c r="AM152" i="7"/>
  <c r="AM1018" i="7" s="1"/>
  <c r="AP148" i="7"/>
  <c r="AP1017" i="7" s="1"/>
  <c r="AO146" i="7"/>
  <c r="AO1017" i="7" s="1"/>
  <c r="AN144" i="7"/>
  <c r="AN1017" i="7" s="1"/>
  <c r="AM142" i="7"/>
  <c r="AM1017" i="7" s="1"/>
  <c r="AP138" i="7"/>
  <c r="AP1016" i="7" s="1"/>
  <c r="AO136" i="7"/>
  <c r="AO1016" i="7" s="1"/>
  <c r="AN134" i="7"/>
  <c r="AN1016" i="7" s="1"/>
  <c r="AM132" i="7"/>
  <c r="AM1016" i="7" s="1"/>
  <c r="AP128" i="7"/>
  <c r="AP1015" i="7" s="1"/>
  <c r="AO126" i="7"/>
  <c r="AO1015" i="7" s="1"/>
  <c r="AN124" i="7"/>
  <c r="AN1015" i="7" s="1"/>
  <c r="AM122" i="7"/>
  <c r="AM1015" i="7" s="1"/>
  <c r="AP118" i="7"/>
  <c r="AP1014" i="7" s="1"/>
  <c r="AO116" i="7"/>
  <c r="AO1014" i="7" s="1"/>
  <c r="AN114" i="7"/>
  <c r="AN1014" i="7" s="1"/>
  <c r="AM112" i="7"/>
  <c r="AM1014" i="7" s="1"/>
  <c r="AP108" i="7"/>
  <c r="AP1013" i="7" s="1"/>
  <c r="AO106" i="7"/>
  <c r="AO1013" i="7" s="1"/>
  <c r="AN104" i="7"/>
  <c r="AN1013" i="7" s="1"/>
  <c r="AM102" i="7"/>
  <c r="AM1013" i="7" s="1"/>
  <c r="AP98" i="7"/>
  <c r="AO96" i="7"/>
  <c r="AO1012" i="7" s="1"/>
  <c r="AN94" i="7"/>
  <c r="AN1012" i="7" s="1"/>
  <c r="AM92" i="7"/>
  <c r="AM1012" i="7" s="1"/>
  <c r="AP88" i="7"/>
  <c r="AP1011" i="7" s="1"/>
  <c r="AO86" i="7"/>
  <c r="AN84" i="7"/>
  <c r="AN1011" i="7" s="1"/>
  <c r="AM82" i="7"/>
  <c r="AM1011" i="7" s="1"/>
  <c r="AP78" i="7"/>
  <c r="AP1010" i="7" s="1"/>
  <c r="AO76" i="7"/>
  <c r="AO1010" i="7" s="1"/>
  <c r="AN74" i="7"/>
  <c r="AN1010" i="7" s="1"/>
  <c r="AM72" i="7"/>
  <c r="AM1010" i="7" s="1"/>
  <c r="AP68" i="7"/>
  <c r="AP1009" i="7" s="1"/>
  <c r="AO66" i="7"/>
  <c r="AO1009" i="7" s="1"/>
  <c r="AN64" i="7"/>
  <c r="AN1009" i="7" s="1"/>
  <c r="AM62" i="7"/>
  <c r="AM1009" i="7" s="1"/>
  <c r="AP58" i="7"/>
  <c r="AP1008" i="7" s="1"/>
  <c r="AO56" i="7"/>
  <c r="AO1008" i="7" s="1"/>
  <c r="AN54" i="7"/>
  <c r="AN1008" i="7" s="1"/>
  <c r="AM52" i="7"/>
  <c r="AM1008" i="7" s="1"/>
  <c r="AP48" i="7"/>
  <c r="AO46" i="7"/>
  <c r="AO1007" i="7" s="1"/>
  <c r="AN44" i="7"/>
  <c r="AN1007" i="7" s="1"/>
  <c r="AM42" i="7"/>
  <c r="AM1007" i="7" s="1"/>
  <c r="AP38" i="7"/>
  <c r="AP1006" i="7" s="1"/>
  <c r="AO36" i="7"/>
  <c r="AO1006" i="7" s="1"/>
  <c r="AN34" i="7"/>
  <c r="AN1006" i="7" s="1"/>
  <c r="AM32" i="7"/>
  <c r="AM1006" i="7" s="1"/>
  <c r="AP28" i="7"/>
  <c r="AP1005" i="7" s="1"/>
  <c r="AO26" i="7"/>
  <c r="AO1005" i="7" s="1"/>
  <c r="AN24" i="7"/>
  <c r="AN1005" i="7" s="1"/>
  <c r="AM22" i="7"/>
  <c r="AM1005" i="7" s="1"/>
  <c r="AP18" i="7"/>
  <c r="AQ18" i="7" s="1"/>
  <c r="AO16" i="7"/>
  <c r="AO1004" i="7" s="1"/>
  <c r="AN14" i="7"/>
  <c r="AN1004" i="7" s="1"/>
  <c r="AM12" i="7"/>
  <c r="AQ12" i="7" s="1"/>
  <c r="AP968" i="7"/>
  <c r="AO966" i="7"/>
  <c r="AN964" i="7"/>
  <c r="AM962" i="7"/>
  <c r="AP978" i="7"/>
  <c r="AO976" i="7"/>
  <c r="AN974" i="7"/>
  <c r="AM972" i="7"/>
  <c r="AP988" i="7"/>
  <c r="AO986" i="7"/>
  <c r="AN984" i="7"/>
  <c r="AM982" i="7"/>
  <c r="AP998" i="7"/>
  <c r="AO996" i="7"/>
  <c r="AN994" i="7"/>
  <c r="AM992" i="7"/>
  <c r="AP1007" i="7"/>
  <c r="AO1011" i="7"/>
  <c r="AP1012" i="7"/>
  <c r="AN1018" i="7"/>
  <c r="AO1022" i="7"/>
  <c r="A143" i="10"/>
  <c r="A142" i="10"/>
  <c r="A141" i="10"/>
  <c r="A140" i="10"/>
  <c r="A139" i="10"/>
  <c r="A138" i="10"/>
  <c r="A137" i="10"/>
  <c r="A136" i="10"/>
  <c r="A135" i="10"/>
  <c r="A134" i="10"/>
  <c r="A133" i="10"/>
  <c r="A132" i="10"/>
  <c r="A131" i="10"/>
  <c r="A130" i="10"/>
  <c r="A129" i="10"/>
  <c r="A128" i="10"/>
  <c r="A127" i="10"/>
  <c r="A126" i="10"/>
  <c r="A125" i="10"/>
  <c r="A124" i="10"/>
  <c r="A123" i="10"/>
  <c r="A122" i="10"/>
  <c r="A121" i="10"/>
  <c r="A120" i="10"/>
  <c r="A119" i="10"/>
  <c r="A118" i="10"/>
  <c r="A117" i="10"/>
  <c r="A116" i="10"/>
  <c r="A115" i="10"/>
  <c r="A114" i="10"/>
  <c r="A113" i="10"/>
  <c r="A112" i="10"/>
  <c r="A111" i="10"/>
  <c r="A110" i="10"/>
  <c r="A109" i="10"/>
  <c r="A108" i="10"/>
  <c r="A107" i="10"/>
  <c r="A106" i="10"/>
  <c r="A105" i="10"/>
  <c r="A104" i="10"/>
  <c r="A103" i="10"/>
  <c r="A102" i="10"/>
  <c r="A101" i="10"/>
  <c r="A100" i="10"/>
  <c r="A99" i="10"/>
  <c r="A98" i="10"/>
  <c r="A97" i="10"/>
  <c r="A96" i="10"/>
  <c r="A95" i="10"/>
  <c r="A94" i="10"/>
  <c r="A93" i="10"/>
  <c r="A92" i="10"/>
  <c r="A91" i="10"/>
  <c r="A90" i="10"/>
  <c r="A89" i="10"/>
  <c r="A88" i="10"/>
  <c r="A87" i="10"/>
  <c r="A86" i="10"/>
  <c r="A85" i="10"/>
  <c r="A84" i="10"/>
  <c r="A83" i="10"/>
  <c r="A82" i="10"/>
  <c r="A81" i="10"/>
  <c r="A80" i="10"/>
  <c r="A79" i="10"/>
  <c r="A78" i="10"/>
  <c r="M77" i="10"/>
  <c r="G77" i="10"/>
  <c r="A77" i="10"/>
  <c r="M76" i="10"/>
  <c r="G76" i="10"/>
  <c r="A76" i="10"/>
  <c r="M75" i="10"/>
  <c r="G75" i="10"/>
  <c r="A75" i="10"/>
  <c r="M74" i="10"/>
  <c r="G74" i="10"/>
  <c r="A74" i="10"/>
  <c r="M73" i="10"/>
  <c r="G73" i="10"/>
  <c r="A73" i="10"/>
  <c r="M72" i="10"/>
  <c r="G72" i="10"/>
  <c r="A72" i="10"/>
  <c r="M71" i="10"/>
  <c r="G71" i="10"/>
  <c r="A71" i="10"/>
  <c r="M70" i="10"/>
  <c r="G70" i="10"/>
  <c r="A70" i="10"/>
  <c r="M69" i="10"/>
  <c r="G69" i="10"/>
  <c r="A69" i="10"/>
  <c r="M68" i="10"/>
  <c r="G68" i="10"/>
  <c r="A68" i="10"/>
  <c r="M67" i="10"/>
  <c r="G67" i="10"/>
  <c r="A67" i="10"/>
  <c r="M66" i="10"/>
  <c r="G66" i="10"/>
  <c r="A66" i="10"/>
  <c r="M65" i="10"/>
  <c r="G65" i="10"/>
  <c r="A65" i="10"/>
  <c r="M64" i="10"/>
  <c r="G64" i="10"/>
  <c r="A64" i="10"/>
  <c r="M63" i="10"/>
  <c r="G63" i="10"/>
  <c r="A63" i="10"/>
  <c r="M62" i="10"/>
  <c r="G62" i="10"/>
  <c r="A62" i="10"/>
  <c r="M61" i="10"/>
  <c r="G61" i="10"/>
  <c r="A61" i="10"/>
  <c r="M60" i="10"/>
  <c r="G60" i="10"/>
  <c r="A60" i="10"/>
  <c r="M59" i="10"/>
  <c r="G59" i="10"/>
  <c r="A59" i="10"/>
  <c r="M58" i="10"/>
  <c r="G58" i="10"/>
  <c r="A58" i="10"/>
  <c r="M57" i="10"/>
  <c r="G57" i="10"/>
  <c r="A57" i="10"/>
  <c r="M56" i="10"/>
  <c r="G56" i="10"/>
  <c r="A56" i="10"/>
  <c r="M55" i="10"/>
  <c r="G55" i="10"/>
  <c r="A55" i="10"/>
  <c r="M54" i="10"/>
  <c r="G54" i="10"/>
  <c r="A54" i="10"/>
  <c r="M53" i="10"/>
  <c r="G53" i="10"/>
  <c r="A53" i="10"/>
  <c r="M52" i="10"/>
  <c r="G52" i="10"/>
  <c r="A52" i="10"/>
  <c r="M51" i="10"/>
  <c r="G51" i="10"/>
  <c r="A51" i="10"/>
  <c r="M50" i="10"/>
  <c r="G50" i="10"/>
  <c r="A50" i="10"/>
  <c r="M49" i="10"/>
  <c r="G49" i="10"/>
  <c r="A49" i="10"/>
  <c r="M48" i="10"/>
  <c r="G48" i="10"/>
  <c r="A48" i="10"/>
  <c r="M47" i="10"/>
  <c r="G47" i="10"/>
  <c r="A47" i="10"/>
  <c r="M46" i="10"/>
  <c r="G46" i="10"/>
  <c r="A46" i="10"/>
  <c r="A42" i="10"/>
  <c r="A40" i="10"/>
  <c r="G26" i="10"/>
  <c r="A25" i="10"/>
  <c r="L22" i="10"/>
  <c r="M22" i="10" s="1"/>
  <c r="A22" i="10" s="1"/>
  <c r="U13" i="10"/>
  <c r="K5" i="10"/>
  <c r="J5" i="10"/>
  <c r="I5" i="10"/>
  <c r="G5" i="10"/>
  <c r="B5" i="10"/>
  <c r="A5" i="10"/>
  <c r="T3" i="10"/>
  <c r="R3" i="10" s="1"/>
  <c r="G3" i="10"/>
  <c r="Q1" i="10"/>
  <c r="J1" i="10"/>
  <c r="A1" i="10"/>
  <c r="O5" i="10" l="1"/>
  <c r="O4" i="10"/>
  <c r="AM1004" i="7"/>
  <c r="AP1004" i="7"/>
  <c r="P4" i="10"/>
  <c r="X144" i="10"/>
  <c r="I3" i="7"/>
  <c r="F3" i="7"/>
  <c r="E3" i="7"/>
  <c r="H140" i="7"/>
  <c r="G140" i="7"/>
  <c r="J145" i="7" s="1"/>
  <c r="I148" i="7" s="1"/>
  <c r="F140" i="7"/>
  <c r="C140" i="7"/>
  <c r="C150" i="7"/>
  <c r="D140" i="7"/>
  <c r="I143" i="7" s="1"/>
  <c r="E140" i="7"/>
  <c r="L990" i="7"/>
  <c r="L980" i="7"/>
  <c r="L720" i="7"/>
  <c r="L970" i="7"/>
  <c r="L960" i="7"/>
  <c r="L950" i="7"/>
  <c r="L940" i="7"/>
  <c r="L930" i="7"/>
  <c r="L920" i="7"/>
  <c r="L910" i="7"/>
  <c r="L900" i="7"/>
  <c r="L890" i="7"/>
  <c r="L880" i="7"/>
  <c r="L870" i="7"/>
  <c r="L860" i="7"/>
  <c r="L850" i="7"/>
  <c r="L840" i="7"/>
  <c r="L830" i="7"/>
  <c r="L820" i="7"/>
  <c r="L810" i="7"/>
  <c r="L800" i="7"/>
  <c r="L790" i="7"/>
  <c r="L780" i="7"/>
  <c r="L770" i="7"/>
  <c r="L760" i="7"/>
  <c r="L750" i="7"/>
  <c r="L740" i="7"/>
  <c r="L730" i="7"/>
  <c r="L710" i="7"/>
  <c r="L700" i="7"/>
  <c r="L690" i="7"/>
  <c r="L680" i="7"/>
  <c r="L670" i="7"/>
  <c r="L660" i="7"/>
  <c r="L650" i="7"/>
  <c r="L40" i="7"/>
  <c r="L20" i="7"/>
  <c r="L640" i="7"/>
  <c r="L630" i="7"/>
  <c r="L620" i="7"/>
  <c r="L610" i="7"/>
  <c r="L600" i="7"/>
  <c r="L590" i="7"/>
  <c r="L580" i="7"/>
  <c r="L570" i="7"/>
  <c r="L560" i="7"/>
  <c r="L550" i="7"/>
  <c r="L540" i="7"/>
  <c r="L530" i="7"/>
  <c r="L520" i="7"/>
  <c r="L510" i="7"/>
  <c r="L500" i="7"/>
  <c r="L490" i="7"/>
  <c r="L480" i="7"/>
  <c r="L470" i="7"/>
  <c r="L460" i="7"/>
  <c r="L450" i="7"/>
  <c r="L440" i="7"/>
  <c r="L430" i="7"/>
  <c r="L420" i="7"/>
  <c r="L410" i="7"/>
  <c r="L400" i="7"/>
  <c r="L390" i="7"/>
  <c r="L380" i="7"/>
  <c r="L370" i="7"/>
  <c r="L360" i="7"/>
  <c r="L350" i="7"/>
  <c r="L340" i="7"/>
  <c r="L330" i="7"/>
  <c r="L320" i="7"/>
  <c r="L310" i="7"/>
  <c r="L300" i="7"/>
  <c r="L290" i="7"/>
  <c r="L280" i="7"/>
  <c r="L270" i="7"/>
  <c r="L260" i="7"/>
  <c r="L250" i="7"/>
  <c r="L240" i="7"/>
  <c r="L230" i="7"/>
  <c r="L220" i="7"/>
  <c r="L210" i="7"/>
  <c r="L200" i="7"/>
  <c r="L190" i="7"/>
  <c r="L180" i="7"/>
  <c r="L170" i="7"/>
  <c r="L160" i="7"/>
  <c r="L150" i="7"/>
  <c r="L140" i="7"/>
  <c r="L130" i="7"/>
  <c r="L120" i="7"/>
  <c r="L110" i="7"/>
  <c r="L100" i="7"/>
  <c r="L90" i="7"/>
  <c r="L80" i="7"/>
  <c r="L70" i="7"/>
  <c r="L60" i="7"/>
  <c r="L50" i="7"/>
  <c r="L30" i="7"/>
  <c r="C10" i="7"/>
  <c r="D10" i="7"/>
  <c r="I13" i="7" s="1"/>
  <c r="E10" i="7"/>
  <c r="F10" i="7"/>
  <c r="G10" i="7"/>
  <c r="J15" i="7" s="1"/>
  <c r="J16" i="7" s="1"/>
  <c r="J18" i="7" s="1"/>
  <c r="J17" i="7" s="1"/>
  <c r="H10" i="7"/>
  <c r="D150" i="7"/>
  <c r="I153" i="7" s="1"/>
  <c r="E150" i="7"/>
  <c r="F150" i="7"/>
  <c r="G150" i="7"/>
  <c r="J155" i="7" s="1"/>
  <c r="J156" i="7" s="1"/>
  <c r="J158" i="7" s="1"/>
  <c r="J157" i="7" s="1"/>
  <c r="H150" i="7"/>
  <c r="L20" i="3"/>
  <c r="M2" i="7"/>
  <c r="M9" i="7" s="1"/>
  <c r="M19" i="7" s="1"/>
  <c r="M29" i="7" s="1"/>
  <c r="Q1" i="3"/>
  <c r="A10" i="3"/>
  <c r="A8" i="3" s="1"/>
  <c r="M32" i="3"/>
  <c r="G32" i="3"/>
  <c r="A32" i="3"/>
  <c r="G64"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25" i="4"/>
  <c r="K14" i="7" l="1"/>
  <c r="K16" i="7" s="1"/>
  <c r="K18" i="7" s="1"/>
  <c r="K20" i="7" s="1"/>
  <c r="K22" i="7" s="1"/>
  <c r="K24" i="7" s="1"/>
  <c r="K26" i="7" s="1"/>
  <c r="K28" i="7" s="1"/>
  <c r="K30" i="7" s="1"/>
  <c r="K32" i="7" s="1"/>
  <c r="K34" i="7" s="1"/>
  <c r="K36" i="7" s="1"/>
  <c r="K38" i="7" s="1"/>
  <c r="K40" i="7" s="1"/>
  <c r="K42" i="7" s="1"/>
  <c r="K44" i="7" s="1"/>
  <c r="K46" i="7" s="1"/>
  <c r="K48" i="7" s="1"/>
  <c r="K50" i="7" s="1"/>
  <c r="K52" i="7" s="1"/>
  <c r="K54" i="7" s="1"/>
  <c r="K56" i="7" s="1"/>
  <c r="K58" i="7" s="1"/>
  <c r="K60" i="7" s="1"/>
  <c r="K62" i="7" s="1"/>
  <c r="K64" i="7" s="1"/>
  <c r="K66" i="7" s="1"/>
  <c r="K68" i="7" s="1"/>
  <c r="K70" i="7" s="1"/>
  <c r="K72" i="7" s="1"/>
  <c r="K74" i="7" s="1"/>
  <c r="K76" i="7" s="1"/>
  <c r="K78" i="7" s="1"/>
  <c r="K80" i="7" s="1"/>
  <c r="K82" i="7" s="1"/>
  <c r="K84" i="7" s="1"/>
  <c r="K86" i="7" s="1"/>
  <c r="K88" i="7" s="1"/>
  <c r="K90" i="7" s="1"/>
  <c r="K92" i="7" s="1"/>
  <c r="K94" i="7" s="1"/>
  <c r="K96" i="7" s="1"/>
  <c r="K98" i="7" s="1"/>
  <c r="K100" i="7" s="1"/>
  <c r="K102" i="7" s="1"/>
  <c r="K104" i="7" s="1"/>
  <c r="K106" i="7" s="1"/>
  <c r="K108" i="7" s="1"/>
  <c r="K110" i="7" s="1"/>
  <c r="K112" i="7" s="1"/>
  <c r="K114" i="7" s="1"/>
  <c r="K116" i="7" s="1"/>
  <c r="K118" i="7" s="1"/>
  <c r="K120" i="7" s="1"/>
  <c r="K122" i="7" s="1"/>
  <c r="K124" i="7" s="1"/>
  <c r="K126" i="7" s="1"/>
  <c r="K128" i="7" s="1"/>
  <c r="K130" i="7" s="1"/>
  <c r="K132" i="7" s="1"/>
  <c r="K134" i="7" s="1"/>
  <c r="K136" i="7" s="1"/>
  <c r="K138" i="7" s="1"/>
  <c r="K140" i="7" s="1"/>
  <c r="K142" i="7" s="1"/>
  <c r="K144" i="7" s="1"/>
  <c r="K146" i="7" s="1"/>
  <c r="K148" i="7" s="1"/>
  <c r="K150" i="7" s="1"/>
  <c r="K152" i="7" s="1"/>
  <c r="K154" i="7" s="1"/>
  <c r="K156" i="7" s="1"/>
  <c r="K158" i="7" s="1"/>
  <c r="K160" i="7" s="1"/>
  <c r="K162" i="7" s="1"/>
  <c r="K164" i="7" s="1"/>
  <c r="K166" i="7" s="1"/>
  <c r="K168" i="7" s="1"/>
  <c r="K170" i="7" s="1"/>
  <c r="K172" i="7" s="1"/>
  <c r="K174" i="7" s="1"/>
  <c r="K176" i="7" s="1"/>
  <c r="K178" i="7" s="1"/>
  <c r="K180" i="7" s="1"/>
  <c r="K182" i="7" s="1"/>
  <c r="K184" i="7" s="1"/>
  <c r="K186" i="7" s="1"/>
  <c r="K188" i="7" s="1"/>
  <c r="K190" i="7" s="1"/>
  <c r="K192" i="7" s="1"/>
  <c r="K194" i="7" s="1"/>
  <c r="K196" i="7" s="1"/>
  <c r="K198" i="7" s="1"/>
  <c r="K200" i="7" s="1"/>
  <c r="K202" i="7" s="1"/>
  <c r="K204" i="7" s="1"/>
  <c r="K206" i="7" s="1"/>
  <c r="K208" i="7" s="1"/>
  <c r="K210" i="7" s="1"/>
  <c r="K212" i="7" s="1"/>
  <c r="K214" i="7" s="1"/>
  <c r="K216" i="7" s="1"/>
  <c r="K218" i="7" s="1"/>
  <c r="K220" i="7" s="1"/>
  <c r="K222" i="7" s="1"/>
  <c r="K224" i="7" s="1"/>
  <c r="K226" i="7" s="1"/>
  <c r="K228" i="7" s="1"/>
  <c r="K230" i="7" s="1"/>
  <c r="K232" i="7" s="1"/>
  <c r="K234" i="7" s="1"/>
  <c r="K236" i="7" s="1"/>
  <c r="K238" i="7" s="1"/>
  <c r="K240" i="7" s="1"/>
  <c r="K242" i="7" s="1"/>
  <c r="K244" i="7" s="1"/>
  <c r="K246" i="7" s="1"/>
  <c r="K248" i="7" s="1"/>
  <c r="K250" i="7" s="1"/>
  <c r="K252" i="7" s="1"/>
  <c r="K254" i="7" s="1"/>
  <c r="K256" i="7" s="1"/>
  <c r="K258" i="7" s="1"/>
  <c r="K260" i="7" s="1"/>
  <c r="K262" i="7" s="1"/>
  <c r="K264" i="7" s="1"/>
  <c r="K266" i="7" s="1"/>
  <c r="K268" i="7" s="1"/>
  <c r="K270" i="7" s="1"/>
  <c r="K272" i="7" s="1"/>
  <c r="K274" i="7" s="1"/>
  <c r="K276" i="7" s="1"/>
  <c r="K278" i="7" s="1"/>
  <c r="K280" i="7" s="1"/>
  <c r="K282" i="7" s="1"/>
  <c r="K284" i="7" s="1"/>
  <c r="K286" i="7" s="1"/>
  <c r="K288" i="7" s="1"/>
  <c r="K290" i="7" s="1"/>
  <c r="K292" i="7" s="1"/>
  <c r="K294" i="7" s="1"/>
  <c r="K296" i="7" s="1"/>
  <c r="K298" i="7" s="1"/>
  <c r="K300" i="7" s="1"/>
  <c r="K302" i="7" s="1"/>
  <c r="K304" i="7" s="1"/>
  <c r="K306" i="7" s="1"/>
  <c r="K308" i="7" s="1"/>
  <c r="K310" i="7" s="1"/>
  <c r="K312" i="7" s="1"/>
  <c r="K314" i="7" s="1"/>
  <c r="K316" i="7" s="1"/>
  <c r="K318" i="7" s="1"/>
  <c r="K320" i="7" s="1"/>
  <c r="K322" i="7" s="1"/>
  <c r="K324" i="7" s="1"/>
  <c r="K326" i="7" s="1"/>
  <c r="K328" i="7" s="1"/>
  <c r="K330" i="7" s="1"/>
  <c r="K332" i="7" s="1"/>
  <c r="K334" i="7" s="1"/>
  <c r="K336" i="7" s="1"/>
  <c r="K338" i="7" s="1"/>
  <c r="K340" i="7" s="1"/>
  <c r="K342" i="7" s="1"/>
  <c r="K344" i="7" s="1"/>
  <c r="K346" i="7" s="1"/>
  <c r="K348" i="7" s="1"/>
  <c r="K350" i="7" s="1"/>
  <c r="K352" i="7" s="1"/>
  <c r="K354" i="7" s="1"/>
  <c r="K356" i="7" s="1"/>
  <c r="K358" i="7" s="1"/>
  <c r="K360" i="7" s="1"/>
  <c r="K362" i="7" s="1"/>
  <c r="K364" i="7" s="1"/>
  <c r="K366" i="7" s="1"/>
  <c r="K368" i="7" s="1"/>
  <c r="K370" i="7" s="1"/>
  <c r="K372" i="7" s="1"/>
  <c r="K374" i="7" s="1"/>
  <c r="K376" i="7" s="1"/>
  <c r="K378" i="7" s="1"/>
  <c r="K380" i="7" s="1"/>
  <c r="K382" i="7" s="1"/>
  <c r="K384" i="7" s="1"/>
  <c r="K386" i="7" s="1"/>
  <c r="K388" i="7" s="1"/>
  <c r="K390" i="7" s="1"/>
  <c r="K392" i="7" s="1"/>
  <c r="K394" i="7" s="1"/>
  <c r="K396" i="7" s="1"/>
  <c r="K398" i="7" s="1"/>
  <c r="K400" i="7" s="1"/>
  <c r="K402" i="7" s="1"/>
  <c r="K404" i="7" s="1"/>
  <c r="K406" i="7" s="1"/>
  <c r="K408" i="7" s="1"/>
  <c r="K410" i="7" s="1"/>
  <c r="K412" i="7" s="1"/>
  <c r="K414" i="7" s="1"/>
  <c r="K416" i="7" s="1"/>
  <c r="K418" i="7" s="1"/>
  <c r="K420" i="7" s="1"/>
  <c r="K422" i="7" s="1"/>
  <c r="K424" i="7" s="1"/>
  <c r="K426" i="7" s="1"/>
  <c r="K428" i="7" s="1"/>
  <c r="K430" i="7" s="1"/>
  <c r="K432" i="7" s="1"/>
  <c r="K434" i="7" s="1"/>
  <c r="K436" i="7" s="1"/>
  <c r="K438" i="7" s="1"/>
  <c r="K440" i="7" s="1"/>
  <c r="K442" i="7" s="1"/>
  <c r="K444" i="7" s="1"/>
  <c r="K446" i="7" s="1"/>
  <c r="K448" i="7" s="1"/>
  <c r="K450" i="7" s="1"/>
  <c r="K452" i="7" s="1"/>
  <c r="K454" i="7" s="1"/>
  <c r="K456" i="7" s="1"/>
  <c r="K458" i="7" s="1"/>
  <c r="K460" i="7" s="1"/>
  <c r="K462" i="7" s="1"/>
  <c r="K464" i="7" s="1"/>
  <c r="K466" i="7" s="1"/>
  <c r="K468" i="7" s="1"/>
  <c r="K470" i="7" s="1"/>
  <c r="K472" i="7" s="1"/>
  <c r="K474" i="7" s="1"/>
  <c r="K476" i="7" s="1"/>
  <c r="K478" i="7" s="1"/>
  <c r="K480" i="7" s="1"/>
  <c r="K482" i="7" s="1"/>
  <c r="K484" i="7" s="1"/>
  <c r="K486" i="7" s="1"/>
  <c r="K488" i="7" s="1"/>
  <c r="K490" i="7" s="1"/>
  <c r="K492" i="7" s="1"/>
  <c r="K494" i="7" s="1"/>
  <c r="K496" i="7" s="1"/>
  <c r="K498" i="7" s="1"/>
  <c r="K500" i="7" s="1"/>
  <c r="K502" i="7" s="1"/>
  <c r="K504" i="7" s="1"/>
  <c r="K506" i="7" s="1"/>
  <c r="K508" i="7" s="1"/>
  <c r="K510" i="7" s="1"/>
  <c r="K512" i="7" s="1"/>
  <c r="K514" i="7" s="1"/>
  <c r="K516" i="7" s="1"/>
  <c r="K518" i="7" s="1"/>
  <c r="K520" i="7" s="1"/>
  <c r="K522" i="7" s="1"/>
  <c r="K524" i="7" s="1"/>
  <c r="K526" i="7" s="1"/>
  <c r="K528" i="7" s="1"/>
  <c r="K530" i="7" s="1"/>
  <c r="K532" i="7" s="1"/>
  <c r="K534" i="7" s="1"/>
  <c r="K536" i="7" s="1"/>
  <c r="K538" i="7" s="1"/>
  <c r="K540" i="7" s="1"/>
  <c r="K542" i="7" s="1"/>
  <c r="K544" i="7" s="1"/>
  <c r="K546" i="7" s="1"/>
  <c r="K548" i="7" s="1"/>
  <c r="K550" i="7" s="1"/>
  <c r="K552" i="7" s="1"/>
  <c r="K554" i="7" s="1"/>
  <c r="K556" i="7" s="1"/>
  <c r="K558" i="7" s="1"/>
  <c r="K560" i="7" s="1"/>
  <c r="K562" i="7" s="1"/>
  <c r="K564" i="7" s="1"/>
  <c r="K566" i="7" s="1"/>
  <c r="K568" i="7" s="1"/>
  <c r="K570" i="7" s="1"/>
  <c r="K572" i="7" s="1"/>
  <c r="K574" i="7" s="1"/>
  <c r="K576" i="7" s="1"/>
  <c r="K578" i="7" s="1"/>
  <c r="K580" i="7" s="1"/>
  <c r="K582" i="7" s="1"/>
  <c r="K584" i="7" s="1"/>
  <c r="K586" i="7" s="1"/>
  <c r="K588" i="7" s="1"/>
  <c r="K590" i="7" s="1"/>
  <c r="K592" i="7" s="1"/>
  <c r="K594" i="7" s="1"/>
  <c r="K596" i="7" s="1"/>
  <c r="K598" i="7" s="1"/>
  <c r="K600" i="7" s="1"/>
  <c r="K602" i="7" s="1"/>
  <c r="K604" i="7" s="1"/>
  <c r="K606" i="7" s="1"/>
  <c r="K608" i="7" s="1"/>
  <c r="K610" i="7" s="1"/>
  <c r="K612" i="7" s="1"/>
  <c r="K614" i="7" s="1"/>
  <c r="K616" i="7" s="1"/>
  <c r="K618" i="7" s="1"/>
  <c r="K620" i="7" s="1"/>
  <c r="K622" i="7" s="1"/>
  <c r="K624" i="7" s="1"/>
  <c r="K626" i="7" s="1"/>
  <c r="K628" i="7" s="1"/>
  <c r="K630" i="7" s="1"/>
  <c r="K632" i="7" s="1"/>
  <c r="K634" i="7" s="1"/>
  <c r="K636" i="7" s="1"/>
  <c r="K638" i="7" s="1"/>
  <c r="K640" i="7" s="1"/>
  <c r="K642" i="7" s="1"/>
  <c r="K644" i="7" s="1"/>
  <c r="K646" i="7" s="1"/>
  <c r="K648" i="7" s="1"/>
  <c r="K650" i="7" s="1"/>
  <c r="K652" i="7" s="1"/>
  <c r="K654" i="7" s="1"/>
  <c r="K656" i="7" s="1"/>
  <c r="K658" i="7" s="1"/>
  <c r="K660" i="7" s="1"/>
  <c r="K662" i="7" s="1"/>
  <c r="K664" i="7" s="1"/>
  <c r="K666" i="7" s="1"/>
  <c r="K668" i="7" s="1"/>
  <c r="K670" i="7" s="1"/>
  <c r="K672" i="7" s="1"/>
  <c r="K674" i="7" s="1"/>
  <c r="K676" i="7" s="1"/>
  <c r="K678" i="7" s="1"/>
  <c r="K680" i="7" s="1"/>
  <c r="K682" i="7" s="1"/>
  <c r="K684" i="7" s="1"/>
  <c r="K686" i="7" s="1"/>
  <c r="K688" i="7" s="1"/>
  <c r="K690" i="7" s="1"/>
  <c r="K692" i="7" s="1"/>
  <c r="K694" i="7" s="1"/>
  <c r="K696" i="7" s="1"/>
  <c r="K698" i="7" s="1"/>
  <c r="K700" i="7" s="1"/>
  <c r="K702" i="7" s="1"/>
  <c r="K704" i="7" s="1"/>
  <c r="K706" i="7" s="1"/>
  <c r="K708" i="7" s="1"/>
  <c r="K710" i="7" s="1"/>
  <c r="K712" i="7" s="1"/>
  <c r="K714" i="7" s="1"/>
  <c r="K716" i="7" s="1"/>
  <c r="K718" i="7" s="1"/>
  <c r="K720" i="7" s="1"/>
  <c r="K722" i="7" s="1"/>
  <c r="K724" i="7" s="1"/>
  <c r="K726" i="7" s="1"/>
  <c r="K728" i="7" s="1"/>
  <c r="K730" i="7" s="1"/>
  <c r="K732" i="7" s="1"/>
  <c r="K734" i="7" s="1"/>
  <c r="K736" i="7" s="1"/>
  <c r="K738" i="7" s="1"/>
  <c r="K740" i="7" s="1"/>
  <c r="K742" i="7" s="1"/>
  <c r="K744" i="7" s="1"/>
  <c r="K746" i="7" s="1"/>
  <c r="K748" i="7" s="1"/>
  <c r="K750" i="7" s="1"/>
  <c r="K752" i="7" s="1"/>
  <c r="K754" i="7" s="1"/>
  <c r="K756" i="7" s="1"/>
  <c r="K758" i="7" s="1"/>
  <c r="K760" i="7" s="1"/>
  <c r="K762" i="7" s="1"/>
  <c r="K764" i="7" s="1"/>
  <c r="K766" i="7" s="1"/>
  <c r="K768" i="7" s="1"/>
  <c r="K770" i="7" s="1"/>
  <c r="K772" i="7" s="1"/>
  <c r="K774" i="7" s="1"/>
  <c r="K776" i="7" s="1"/>
  <c r="K778" i="7" s="1"/>
  <c r="K780" i="7" s="1"/>
  <c r="K782" i="7" s="1"/>
  <c r="K784" i="7" s="1"/>
  <c r="K786" i="7" s="1"/>
  <c r="K788" i="7" s="1"/>
  <c r="K790" i="7" s="1"/>
  <c r="K792" i="7" s="1"/>
  <c r="K794" i="7" s="1"/>
  <c r="K796" i="7" s="1"/>
  <c r="K798" i="7" s="1"/>
  <c r="K800" i="7" s="1"/>
  <c r="K802" i="7" s="1"/>
  <c r="K804" i="7" s="1"/>
  <c r="K806" i="7" s="1"/>
  <c r="K808" i="7" s="1"/>
  <c r="K810" i="7" s="1"/>
  <c r="K812" i="7" s="1"/>
  <c r="K814" i="7" s="1"/>
  <c r="K816" i="7" s="1"/>
  <c r="K818" i="7" s="1"/>
  <c r="K820" i="7" s="1"/>
  <c r="K822" i="7" s="1"/>
  <c r="K824" i="7" s="1"/>
  <c r="K826" i="7" s="1"/>
  <c r="K828" i="7" s="1"/>
  <c r="K830" i="7" s="1"/>
  <c r="K832" i="7" s="1"/>
  <c r="K834" i="7" s="1"/>
  <c r="K836" i="7" s="1"/>
  <c r="K838" i="7" s="1"/>
  <c r="K840" i="7" s="1"/>
  <c r="K842" i="7" s="1"/>
  <c r="K844" i="7" s="1"/>
  <c r="K846" i="7" s="1"/>
  <c r="K848" i="7" s="1"/>
  <c r="K850" i="7" s="1"/>
  <c r="K852" i="7" s="1"/>
  <c r="K854" i="7" s="1"/>
  <c r="K856" i="7" s="1"/>
  <c r="K858" i="7" s="1"/>
  <c r="K860" i="7" s="1"/>
  <c r="K862" i="7" s="1"/>
  <c r="K864" i="7" s="1"/>
  <c r="K866" i="7" s="1"/>
  <c r="K868" i="7" s="1"/>
  <c r="K870" i="7" s="1"/>
  <c r="K872" i="7" s="1"/>
  <c r="K874" i="7" s="1"/>
  <c r="K876" i="7" s="1"/>
  <c r="K878" i="7" s="1"/>
  <c r="K880" i="7" s="1"/>
  <c r="K882" i="7" s="1"/>
  <c r="K884" i="7" s="1"/>
  <c r="K886" i="7" s="1"/>
  <c r="K888" i="7" s="1"/>
  <c r="K890" i="7" s="1"/>
  <c r="K892" i="7" s="1"/>
  <c r="K894" i="7" s="1"/>
  <c r="K896" i="7" s="1"/>
  <c r="K898" i="7" s="1"/>
  <c r="K900" i="7" s="1"/>
  <c r="K902" i="7" s="1"/>
  <c r="K904" i="7" s="1"/>
  <c r="K906" i="7" s="1"/>
  <c r="K908" i="7" s="1"/>
  <c r="K910" i="7" s="1"/>
  <c r="K912" i="7" s="1"/>
  <c r="K914" i="7" s="1"/>
  <c r="K916" i="7" s="1"/>
  <c r="K918" i="7" s="1"/>
  <c r="K920" i="7" s="1"/>
  <c r="K922" i="7" s="1"/>
  <c r="K924" i="7" s="1"/>
  <c r="K926" i="7" s="1"/>
  <c r="K928" i="7" s="1"/>
  <c r="K930" i="7" s="1"/>
  <c r="K932" i="7" s="1"/>
  <c r="K934" i="7" s="1"/>
  <c r="K936" i="7" s="1"/>
  <c r="K938" i="7" s="1"/>
  <c r="K940" i="7" s="1"/>
  <c r="K942" i="7" s="1"/>
  <c r="K944" i="7" s="1"/>
  <c r="K946" i="7" s="1"/>
  <c r="K948" i="7" s="1"/>
  <c r="K950" i="7" s="1"/>
  <c r="K952" i="7" s="1"/>
  <c r="K954" i="7" s="1"/>
  <c r="K956" i="7" s="1"/>
  <c r="K958" i="7" s="1"/>
  <c r="K960" i="7" s="1"/>
  <c r="K962" i="7" s="1"/>
  <c r="K964" i="7" s="1"/>
  <c r="K966" i="7" s="1"/>
  <c r="K968" i="7" s="1"/>
  <c r="K970" i="7" s="1"/>
  <c r="K972" i="7" s="1"/>
  <c r="K974" i="7" s="1"/>
  <c r="K976" i="7" s="1"/>
  <c r="K978" i="7" s="1"/>
  <c r="K980" i="7" s="1"/>
  <c r="K982" i="7" s="1"/>
  <c r="K984" i="7" s="1"/>
  <c r="K986" i="7" s="1"/>
  <c r="K988" i="7" s="1"/>
  <c r="K990" i="7" s="1"/>
  <c r="K992" i="7" s="1"/>
  <c r="K994" i="7" s="1"/>
  <c r="K996" i="7" s="1"/>
  <c r="K998" i="7" s="1"/>
  <c r="C13" i="10"/>
  <c r="T7" i="10" s="1"/>
  <c r="S8" i="10"/>
  <c r="Q14" i="10"/>
  <c r="E5" i="7"/>
  <c r="I140" i="7"/>
  <c r="B143" i="7" s="1"/>
  <c r="J146" i="7"/>
  <c r="M39" i="7"/>
  <c r="M49" i="7" s="1"/>
  <c r="M59" i="7" s="1"/>
  <c r="M69" i="7" s="1"/>
  <c r="M79" i="7" s="1"/>
  <c r="M89" i="7" s="1"/>
  <c r="I10" i="7"/>
  <c r="B13" i="7" s="1"/>
  <c r="I150" i="7"/>
  <c r="B151" i="7" s="1"/>
  <c r="I158" i="7"/>
  <c r="I157" i="7"/>
  <c r="Y32" i="3" a="1"/>
  <c r="A1" i="3"/>
  <c r="A1" i="4"/>
  <c r="A44" i="4"/>
  <c r="A29" i="3"/>
  <c r="A27" i="3"/>
  <c r="J1" i="3"/>
  <c r="V5" i="10" l="1"/>
  <c r="T5" i="10" s="1"/>
  <c r="S5" i="10" s="1"/>
  <c r="S6" i="10"/>
  <c r="R6" i="10"/>
  <c r="Q6" i="10"/>
  <c r="S30" i="10"/>
  <c r="S29" i="10"/>
  <c r="D28" i="10"/>
  <c r="D33" i="10"/>
  <c r="S28" i="10"/>
  <c r="B141" i="7"/>
  <c r="J148" i="7"/>
  <c r="I147" i="7"/>
  <c r="AB32" i="3"/>
  <c r="AB40" i="3"/>
  <c r="AB48" i="3"/>
  <c r="AB56" i="3"/>
  <c r="AB64" i="3"/>
  <c r="AB72" i="3"/>
  <c r="AB80" i="3"/>
  <c r="AB41" i="3"/>
  <c r="AB49" i="3"/>
  <c r="AB57" i="3"/>
  <c r="AB65" i="3"/>
  <c r="AB73" i="3"/>
  <c r="AB33" i="3"/>
  <c r="AB60" i="3"/>
  <c r="AB68" i="3"/>
  <c r="AB34" i="3"/>
  <c r="AB42" i="3"/>
  <c r="AB50" i="3"/>
  <c r="AB58" i="3"/>
  <c r="AB66" i="3"/>
  <c r="AB74" i="3"/>
  <c r="AB35" i="3"/>
  <c r="AB43" i="3"/>
  <c r="AB51" i="3"/>
  <c r="AB59" i="3"/>
  <c r="AB67" i="3"/>
  <c r="AB75" i="3"/>
  <c r="AB76" i="3"/>
  <c r="AB36" i="3"/>
  <c r="AB44" i="3"/>
  <c r="AB37" i="3"/>
  <c r="AB45" i="3"/>
  <c r="AB53" i="3"/>
  <c r="AB61" i="3"/>
  <c r="AB69" i="3"/>
  <c r="AB77" i="3"/>
  <c r="AB55" i="3"/>
  <c r="AB52" i="3"/>
  <c r="AB38" i="3"/>
  <c r="AB46" i="3"/>
  <c r="AB54" i="3"/>
  <c r="AB62" i="3"/>
  <c r="AB70" i="3"/>
  <c r="AB78" i="3"/>
  <c r="AB39" i="3"/>
  <c r="AB47" i="3"/>
  <c r="AB63" i="3"/>
  <c r="AB71" i="3"/>
  <c r="AB79" i="3"/>
  <c r="X86" i="3"/>
  <c r="AA36" i="3" s="1"/>
  <c r="X108" i="3"/>
  <c r="AA58" i="3" s="1"/>
  <c r="X130" i="3"/>
  <c r="AA80" i="3" s="1"/>
  <c r="X113" i="3"/>
  <c r="AA63" i="3" s="1"/>
  <c r="X96" i="3"/>
  <c r="AA46" i="3" s="1"/>
  <c r="X112" i="3"/>
  <c r="AA62" i="3" s="1"/>
  <c r="X103" i="3"/>
  <c r="AA53" i="3" s="1"/>
  <c r="X120" i="3"/>
  <c r="AA70" i="3" s="1"/>
  <c r="X93" i="3"/>
  <c r="AA43" i="3" s="1"/>
  <c r="X111" i="3"/>
  <c r="AA61" i="3" s="1"/>
  <c r="X118" i="3"/>
  <c r="AA68" i="3" s="1"/>
  <c r="X127" i="3"/>
  <c r="AA77" i="3" s="1"/>
  <c r="X97" i="3"/>
  <c r="AA47" i="3" s="1"/>
  <c r="X92" i="3"/>
  <c r="AA42" i="3" s="1"/>
  <c r="X117" i="3"/>
  <c r="AA67" i="3" s="1"/>
  <c r="X87" i="3"/>
  <c r="AA37" i="3" s="1"/>
  <c r="X104" i="3"/>
  <c r="AA54" i="3" s="1"/>
  <c r="X121" i="3"/>
  <c r="AA71" i="3" s="1"/>
  <c r="X91" i="3"/>
  <c r="AA41" i="3" s="1"/>
  <c r="X116" i="3"/>
  <c r="AA66" i="3" s="1"/>
  <c r="X99" i="3"/>
  <c r="AA49" i="3" s="1"/>
  <c r="X129" i="3"/>
  <c r="AA79" i="3" s="1"/>
  <c r="X94" i="3"/>
  <c r="AA44" i="3" s="1"/>
  <c r="X107" i="3"/>
  <c r="AA57" i="3" s="1"/>
  <c r="X115" i="3"/>
  <c r="AA65" i="3" s="1"/>
  <c r="X110" i="3"/>
  <c r="AA60" i="3" s="1"/>
  <c r="X119" i="3"/>
  <c r="AA69" i="3" s="1"/>
  <c r="X89" i="3"/>
  <c r="AA39" i="3" s="1"/>
  <c r="X106" i="3"/>
  <c r="AA56" i="3" s="1"/>
  <c r="X123" i="3"/>
  <c r="AA73" i="3" s="1"/>
  <c r="X109" i="3"/>
  <c r="AA59" i="3" s="1"/>
  <c r="X95" i="3"/>
  <c r="AA45" i="3" s="1"/>
  <c r="X90" i="3"/>
  <c r="AA40" i="3" s="1"/>
  <c r="X102" i="3"/>
  <c r="AA52" i="3" s="1"/>
  <c r="X128" i="3"/>
  <c r="AA78" i="3" s="1"/>
  <c r="X98" i="3"/>
  <c r="AA48" i="3" s="1"/>
  <c r="X101" i="3"/>
  <c r="AA51" i="3" s="1"/>
  <c r="X114" i="3"/>
  <c r="AA64" i="3" s="1"/>
  <c r="X124" i="3"/>
  <c r="AA74" i="3" s="1"/>
  <c r="X126" i="3"/>
  <c r="AA76" i="3" s="1"/>
  <c r="X88" i="3"/>
  <c r="AA38" i="3" s="1"/>
  <c r="X105" i="3"/>
  <c r="AA55" i="3" s="1"/>
  <c r="X122" i="3"/>
  <c r="AA72" i="3" s="1"/>
  <c r="X100" i="3"/>
  <c r="AA50" i="3" s="1"/>
  <c r="X125" i="3"/>
  <c r="AA75" i="3" s="1"/>
  <c r="B11" i="7"/>
  <c r="M99" i="7"/>
  <c r="B153" i="7"/>
  <c r="I156" i="7"/>
  <c r="I155" i="7"/>
  <c r="X85" i="3"/>
  <c r="AA35" i="3" s="1"/>
  <c r="X84" i="3"/>
  <c r="AA34" i="3" s="1"/>
  <c r="X83" i="3"/>
  <c r="AA33" i="3" s="1"/>
  <c r="Y32" i="3"/>
  <c r="X32" i="3" s="1"/>
  <c r="X54" i="3"/>
  <c r="X62" i="3"/>
  <c r="X70" i="3"/>
  <c r="X78" i="3"/>
  <c r="X36" i="3"/>
  <c r="X44" i="3"/>
  <c r="X55" i="3"/>
  <c r="X63" i="3"/>
  <c r="X71" i="3"/>
  <c r="X79" i="3"/>
  <c r="X37" i="3"/>
  <c r="X45" i="3"/>
  <c r="X56" i="3"/>
  <c r="X64" i="3"/>
  <c r="X72" i="3"/>
  <c r="X80" i="3"/>
  <c r="X38" i="3"/>
  <c r="X46" i="3"/>
  <c r="X57" i="3"/>
  <c r="X65" i="3"/>
  <c r="X73" i="3"/>
  <c r="X81" i="3"/>
  <c r="X39" i="3"/>
  <c r="X47" i="3"/>
  <c r="X58" i="3"/>
  <c r="X66" i="3"/>
  <c r="X74" i="3"/>
  <c r="X82" i="3"/>
  <c r="AA32" i="3" s="1"/>
  <c r="X40" i="3"/>
  <c r="X48" i="3"/>
  <c r="X51" i="3"/>
  <c r="X59" i="3"/>
  <c r="X67" i="3"/>
  <c r="X75" i="3"/>
  <c r="X33" i="3"/>
  <c r="X41" i="3"/>
  <c r="X49" i="3"/>
  <c r="X52" i="3"/>
  <c r="X60" i="3"/>
  <c r="X68" i="3"/>
  <c r="X76" i="3"/>
  <c r="X34" i="3"/>
  <c r="X42" i="3"/>
  <c r="X50" i="3"/>
  <c r="X53" i="3"/>
  <c r="X61" i="3"/>
  <c r="X69" i="3"/>
  <c r="X77" i="3"/>
  <c r="X35" i="3"/>
  <c r="X43" i="3"/>
  <c r="U32" i="3"/>
  <c r="U46" i="3"/>
  <c r="U44" i="3"/>
  <c r="U47" i="3"/>
  <c r="U58" i="3"/>
  <c r="U62" i="3"/>
  <c r="U52" i="3"/>
  <c r="U51" i="3"/>
  <c r="U48" i="3"/>
  <c r="U33" i="3"/>
  <c r="U34" i="3"/>
  <c r="U60" i="3"/>
  <c r="U54" i="3"/>
  <c r="U41" i="3"/>
  <c r="U40" i="3"/>
  <c r="U56" i="3"/>
  <c r="U57" i="3"/>
  <c r="U43" i="3"/>
  <c r="U36" i="3"/>
  <c r="U55" i="3"/>
  <c r="U50" i="3"/>
  <c r="U35" i="3"/>
  <c r="U37" i="3"/>
  <c r="U61" i="3"/>
  <c r="U59" i="3"/>
  <c r="U49" i="3"/>
  <c r="U38" i="3"/>
  <c r="U53" i="3"/>
  <c r="U64" i="3"/>
  <c r="U63" i="3"/>
  <c r="U42" i="3"/>
  <c r="U39" i="3"/>
  <c r="U45" i="3"/>
  <c r="A46" i="4"/>
  <c r="J1" i="4"/>
  <c r="Q5" i="10" l="1"/>
  <c r="Q2" i="10" s="1"/>
  <c r="R2" i="10" s="1"/>
  <c r="R5" i="10"/>
  <c r="S14" i="10"/>
  <c r="S10" i="10" s="1"/>
  <c r="R14" i="10"/>
  <c r="R10" i="10" s="1"/>
  <c r="O13" i="10"/>
  <c r="S36" i="10" s="1"/>
  <c r="J147" i="7"/>
  <c r="I145" i="7" s="1"/>
  <c r="I146" i="7"/>
  <c r="I154" i="7"/>
  <c r="M109" i="7"/>
  <c r="X148" i="4"/>
  <c r="H14" i="10" l="1"/>
  <c r="H26" i="10"/>
  <c r="J14" i="10"/>
  <c r="P13" i="10"/>
  <c r="H16" i="10"/>
  <c r="H18" i="10"/>
  <c r="I144" i="7"/>
  <c r="M119" i="7"/>
  <c r="AQ984" i="7"/>
  <c r="AQ982" i="7"/>
  <c r="AQ978" i="7"/>
  <c r="AQ976" i="7"/>
  <c r="AQ974" i="7"/>
  <c r="AQ972" i="7"/>
  <c r="AQ966" i="7"/>
  <c r="AQ964" i="7"/>
  <c r="AQ962" i="7"/>
  <c r="AQ958" i="7"/>
  <c r="AQ956" i="7"/>
  <c r="AQ954" i="7"/>
  <c r="AQ952" i="7"/>
  <c r="AQ946" i="7"/>
  <c r="AQ944" i="7"/>
  <c r="AQ942" i="7"/>
  <c r="AQ938" i="7"/>
  <c r="AQ936" i="7"/>
  <c r="AQ934" i="7"/>
  <c r="AQ932" i="7"/>
  <c r="AQ926" i="7"/>
  <c r="AQ924" i="7"/>
  <c r="AQ922" i="7"/>
  <c r="AQ918" i="7"/>
  <c r="AQ914" i="7"/>
  <c r="AQ912" i="7"/>
  <c r="AQ906" i="7"/>
  <c r="AQ904" i="7"/>
  <c r="AQ902" i="7"/>
  <c r="AQ898" i="7"/>
  <c r="AQ896" i="7"/>
  <c r="AQ894" i="7"/>
  <c r="AQ892" i="7"/>
  <c r="AQ888" i="7"/>
  <c r="AQ886" i="7"/>
  <c r="AQ884" i="7"/>
  <c r="AQ882" i="7"/>
  <c r="AQ878" i="7"/>
  <c r="AQ876" i="7"/>
  <c r="AQ874" i="7"/>
  <c r="AQ872" i="7"/>
  <c r="AQ864" i="7"/>
  <c r="AQ862" i="7"/>
  <c r="AQ858" i="7"/>
  <c r="AQ856" i="7"/>
  <c r="AQ854" i="7"/>
  <c r="AQ852" i="7"/>
  <c r="AQ846" i="7"/>
  <c r="AQ844" i="7"/>
  <c r="AQ842" i="7"/>
  <c r="AQ838" i="7"/>
  <c r="AQ836" i="7"/>
  <c r="AQ834" i="7"/>
  <c r="AQ832" i="7"/>
  <c r="AQ826" i="7"/>
  <c r="AQ824" i="7"/>
  <c r="AQ822" i="7"/>
  <c r="AQ818" i="7"/>
  <c r="AQ816" i="7"/>
  <c r="AQ814" i="7"/>
  <c r="AQ812" i="7"/>
  <c r="AQ804" i="7"/>
  <c r="AQ802" i="7"/>
  <c r="AQ798" i="7"/>
  <c r="AQ796" i="7"/>
  <c r="AQ792" i="7"/>
  <c r="AQ784" i="7"/>
  <c r="AQ782" i="7"/>
  <c r="AQ778" i="7"/>
  <c r="AQ776" i="7"/>
  <c r="AQ774" i="7"/>
  <c r="AQ772" i="7"/>
  <c r="AQ764" i="7"/>
  <c r="AQ762" i="7"/>
  <c r="AQ758" i="7"/>
  <c r="AQ756" i="7"/>
  <c r="AQ754" i="7"/>
  <c r="AQ752" i="7"/>
  <c r="AQ744" i="7"/>
  <c r="AQ742" i="7"/>
  <c r="AQ738" i="7"/>
  <c r="AQ736" i="7"/>
  <c r="AQ734" i="7"/>
  <c r="AQ732" i="7"/>
  <c r="AQ724" i="7"/>
  <c r="AQ722" i="7"/>
  <c r="AQ718" i="7"/>
  <c r="AQ716" i="7"/>
  <c r="AQ712" i="7"/>
  <c r="AQ706" i="7"/>
  <c r="AQ704" i="7"/>
  <c r="AQ702" i="7"/>
  <c r="AQ698" i="7"/>
  <c r="AQ696" i="7"/>
  <c r="AQ694" i="7"/>
  <c r="AQ692" i="7"/>
  <c r="AQ684" i="7"/>
  <c r="AQ682" i="7"/>
  <c r="AQ678" i="7"/>
  <c r="AQ676" i="7"/>
  <c r="AQ674" i="7"/>
  <c r="AQ672" i="7"/>
  <c r="AQ662" i="7"/>
  <c r="AQ658" i="7"/>
  <c r="AQ656" i="7"/>
  <c r="AQ654" i="7"/>
  <c r="AQ652" i="7"/>
  <c r="AQ646" i="7"/>
  <c r="AQ644" i="7"/>
  <c r="AQ642" i="7"/>
  <c r="AQ638" i="7"/>
  <c r="AQ634" i="7"/>
  <c r="AQ632" i="7"/>
  <c r="AQ628" i="7"/>
  <c r="AQ626" i="7"/>
  <c r="AQ624" i="7"/>
  <c r="AQ622" i="7"/>
  <c r="AQ618" i="7"/>
  <c r="AQ614" i="7"/>
  <c r="AQ612" i="7"/>
  <c r="AQ608" i="7"/>
  <c r="AQ606" i="7"/>
  <c r="AQ604" i="7"/>
  <c r="AQ602" i="7"/>
  <c r="AQ598" i="7"/>
  <c r="AQ596" i="7"/>
  <c r="AQ594" i="7"/>
  <c r="AQ592" i="7"/>
  <c r="AQ588" i="7"/>
  <c r="AQ586" i="7"/>
  <c r="AQ584" i="7"/>
  <c r="AQ582" i="7"/>
  <c r="AQ578" i="7"/>
  <c r="AQ576" i="7"/>
  <c r="AQ574" i="7"/>
  <c r="AQ572" i="7"/>
  <c r="AQ568" i="7"/>
  <c r="AQ564" i="7"/>
  <c r="AQ562" i="7"/>
  <c r="AQ558" i="7"/>
  <c r="AQ556" i="7"/>
  <c r="AQ554" i="7"/>
  <c r="AQ552" i="7"/>
  <c r="AQ546" i="7"/>
  <c r="AQ544" i="7"/>
  <c r="AQ542" i="7"/>
  <c r="AQ538" i="7"/>
  <c r="AQ536" i="7"/>
  <c r="AQ534" i="7"/>
  <c r="AQ532" i="7"/>
  <c r="AQ528" i="7"/>
  <c r="AQ526" i="7"/>
  <c r="AQ524" i="7"/>
  <c r="AQ522" i="7"/>
  <c r="AQ518" i="7"/>
  <c r="AQ516" i="7"/>
  <c r="AQ514" i="7"/>
  <c r="AQ512" i="7"/>
  <c r="AQ506" i="7"/>
  <c r="AQ504" i="7"/>
  <c r="AQ502" i="7"/>
  <c r="AQ916" i="7"/>
  <c r="AO1101" i="7"/>
  <c r="BR40" i="7" s="1"/>
  <c r="AQ992" i="7"/>
  <c r="AQ994" i="7"/>
  <c r="AQ996" i="7"/>
  <c r="AQ998" i="7"/>
  <c r="AQ636" i="7"/>
  <c r="AQ616" i="7"/>
  <c r="AQ498" i="7"/>
  <c r="AQ496" i="7"/>
  <c r="AQ494" i="7"/>
  <c r="AQ492" i="7"/>
  <c r="AQ488" i="7"/>
  <c r="AQ486" i="7"/>
  <c r="AQ484" i="7"/>
  <c r="AQ482" i="7"/>
  <c r="AQ478" i="7"/>
  <c r="AQ476" i="7"/>
  <c r="AQ474" i="7"/>
  <c r="AQ472" i="7"/>
  <c r="AQ468" i="7"/>
  <c r="AQ466" i="7"/>
  <c r="AQ464" i="7"/>
  <c r="AQ462" i="7"/>
  <c r="AQ458" i="7"/>
  <c r="AQ456" i="7"/>
  <c r="AQ454" i="7"/>
  <c r="AQ452" i="7"/>
  <c r="AQ448" i="7"/>
  <c r="AQ446" i="7"/>
  <c r="AQ442" i="7"/>
  <c r="AQ438" i="7"/>
  <c r="AQ436" i="7"/>
  <c r="AQ434" i="7"/>
  <c r="AQ432" i="7"/>
  <c r="AQ428" i="7"/>
  <c r="AQ426" i="7"/>
  <c r="AQ424" i="7"/>
  <c r="AQ422" i="7"/>
  <c r="AQ418" i="7"/>
  <c r="AQ416" i="7"/>
  <c r="AQ414" i="7"/>
  <c r="AQ412" i="7"/>
  <c r="AQ408" i="7"/>
  <c r="AQ406" i="7"/>
  <c r="AQ404" i="7"/>
  <c r="AQ402" i="7"/>
  <c r="AQ398" i="7"/>
  <c r="AQ396" i="7"/>
  <c r="AQ394" i="7"/>
  <c r="AQ392" i="7"/>
  <c r="AQ388" i="7"/>
  <c r="AQ386" i="7"/>
  <c r="AQ382" i="7"/>
  <c r="AQ378" i="7"/>
  <c r="AQ376" i="7"/>
  <c r="AQ374" i="7"/>
  <c r="AQ372" i="7"/>
  <c r="AQ368" i="7"/>
  <c r="AQ366" i="7"/>
  <c r="AQ364" i="7"/>
  <c r="AQ362" i="7"/>
  <c r="AQ358" i="7"/>
  <c r="AQ356" i="7"/>
  <c r="AQ354" i="7"/>
  <c r="AQ352" i="7"/>
  <c r="AQ348" i="7"/>
  <c r="AQ346" i="7"/>
  <c r="AQ344" i="7"/>
  <c r="AQ342" i="7"/>
  <c r="AQ336" i="7"/>
  <c r="AQ334" i="7"/>
  <c r="AQ332" i="7"/>
  <c r="AQ328" i="7"/>
  <c r="AQ326" i="7"/>
  <c r="AQ324" i="7"/>
  <c r="AQ322" i="7"/>
  <c r="AQ316" i="7"/>
  <c r="AQ314" i="7"/>
  <c r="AQ312" i="7"/>
  <c r="AQ308" i="7"/>
  <c r="AQ306" i="7"/>
  <c r="AQ304" i="7"/>
  <c r="AQ302" i="7"/>
  <c r="AQ296" i="7"/>
  <c r="AN1032" i="7"/>
  <c r="BA37" i="7" s="1"/>
  <c r="AQ292" i="7"/>
  <c r="AQ288" i="7"/>
  <c r="AQ286" i="7"/>
  <c r="AQ284" i="7"/>
  <c r="AQ282" i="7"/>
  <c r="AQ278" i="7"/>
  <c r="AQ276" i="7"/>
  <c r="AN1030" i="7"/>
  <c r="BA35" i="7" s="1"/>
  <c r="AQ272" i="7"/>
  <c r="AQ268" i="7"/>
  <c r="AQ266" i="7"/>
  <c r="AN1029" i="7"/>
  <c r="BA34" i="7" s="1"/>
  <c r="AQ262" i="7"/>
  <c r="AQ258" i="7"/>
  <c r="AQ256" i="7"/>
  <c r="BA33" i="7"/>
  <c r="AQ252" i="7"/>
  <c r="AQ248" i="7"/>
  <c r="AQ246" i="7"/>
  <c r="BA32" i="7"/>
  <c r="AQ242" i="7"/>
  <c r="AQ238" i="7"/>
  <c r="AQ236" i="7"/>
  <c r="BA31" i="7"/>
  <c r="AQ232" i="7"/>
  <c r="AQ228" i="7"/>
  <c r="AQ226" i="7"/>
  <c r="BA30" i="7"/>
  <c r="AQ222" i="7"/>
  <c r="AQ218" i="7"/>
  <c r="AQ216" i="7"/>
  <c r="AQ214" i="7"/>
  <c r="AQ212" i="7"/>
  <c r="AQ208" i="7"/>
  <c r="AQ206" i="7"/>
  <c r="AQ204" i="7"/>
  <c r="AZ28" i="7"/>
  <c r="AQ198" i="7"/>
  <c r="AQ196" i="7"/>
  <c r="AQ194" i="7"/>
  <c r="AQ192" i="7"/>
  <c r="AQ188" i="7"/>
  <c r="AZ26" i="7"/>
  <c r="AQ178" i="7"/>
  <c r="AQ176" i="7"/>
  <c r="AQ174" i="7"/>
  <c r="AQ172" i="7"/>
  <c r="AQ168" i="7"/>
  <c r="AQ166" i="7"/>
  <c r="AQ164" i="7"/>
  <c r="AQ162" i="7"/>
  <c r="AQ156" i="7"/>
  <c r="AQ154" i="7"/>
  <c r="AZ23" i="7"/>
  <c r="AQ148" i="7"/>
  <c r="AQ146" i="7"/>
  <c r="AQ138" i="7"/>
  <c r="AQ136" i="7"/>
  <c r="AQ134" i="7"/>
  <c r="AZ21" i="7"/>
  <c r="AQ128" i="7"/>
  <c r="AQ126" i="7"/>
  <c r="AQ124" i="7"/>
  <c r="AZ20" i="7"/>
  <c r="AQ118" i="7"/>
  <c r="AQ116" i="7"/>
  <c r="AQ114" i="7"/>
  <c r="AZ19" i="7"/>
  <c r="AQ108" i="7"/>
  <c r="AQ106" i="7"/>
  <c r="AQ104" i="7"/>
  <c r="AQ102" i="7"/>
  <c r="AQ98" i="7"/>
  <c r="AQ96" i="7"/>
  <c r="AQ94" i="7"/>
  <c r="AQ92" i="7"/>
  <c r="AQ88" i="7"/>
  <c r="AQ86" i="7"/>
  <c r="AQ78" i="7"/>
  <c r="AQ76" i="7"/>
  <c r="AQ74" i="7"/>
  <c r="AQ72" i="7"/>
  <c r="AQ68" i="7"/>
  <c r="AQ66" i="7"/>
  <c r="AQ64" i="7"/>
  <c r="AQ62" i="7"/>
  <c r="AQ54" i="7"/>
  <c r="AQ52" i="7"/>
  <c r="AQ48" i="7"/>
  <c r="AQ46" i="7"/>
  <c r="AQ44" i="7"/>
  <c r="AQ42" i="7"/>
  <c r="AQ32" i="7"/>
  <c r="AQ28" i="7"/>
  <c r="AQ26" i="7"/>
  <c r="AQ24" i="7"/>
  <c r="BB9" i="7"/>
  <c r="BA9" i="7"/>
  <c r="AZ9" i="7"/>
  <c r="AX10" i="7"/>
  <c r="BF10" i="7"/>
  <c r="BN10" i="7"/>
  <c r="AX11" i="7"/>
  <c r="BF11" i="7"/>
  <c r="BN11" i="7"/>
  <c r="AX12" i="7"/>
  <c r="BF12" i="7"/>
  <c r="BN12" i="7"/>
  <c r="AX13" i="7"/>
  <c r="BF13" i="7"/>
  <c r="BN13" i="7"/>
  <c r="AX14" i="7"/>
  <c r="BF14" i="7"/>
  <c r="BN14" i="7"/>
  <c r="AX15" i="7"/>
  <c r="BF15" i="7"/>
  <c r="BN15" i="7"/>
  <c r="AX16" i="7"/>
  <c r="BF16" i="7"/>
  <c r="BN16" i="7"/>
  <c r="AX17" i="7"/>
  <c r="BF17" i="7"/>
  <c r="BN17" i="7"/>
  <c r="AX18" i="7"/>
  <c r="BF18" i="7"/>
  <c r="BN18" i="7"/>
  <c r="AX19" i="7"/>
  <c r="BF19" i="7"/>
  <c r="BN19" i="7"/>
  <c r="AX20" i="7"/>
  <c r="BF20" i="7"/>
  <c r="BN20" i="7"/>
  <c r="AX21" i="7"/>
  <c r="BF21" i="7"/>
  <c r="BN21" i="7"/>
  <c r="AX22" i="7"/>
  <c r="BF22" i="7"/>
  <c r="BN22" i="7"/>
  <c r="AX23" i="7"/>
  <c r="BF23" i="7"/>
  <c r="BN23" i="7"/>
  <c r="AX24" i="7"/>
  <c r="BF24" i="7"/>
  <c r="BN24" i="7"/>
  <c r="AX25" i="7"/>
  <c r="BF25" i="7"/>
  <c r="BN25" i="7"/>
  <c r="AX26" i="7"/>
  <c r="BF26" i="7"/>
  <c r="BN26" i="7"/>
  <c r="AX27" i="7"/>
  <c r="BF27" i="7"/>
  <c r="BN27" i="7"/>
  <c r="AX28" i="7"/>
  <c r="BF28" i="7"/>
  <c r="BN28" i="7"/>
  <c r="AX29" i="7"/>
  <c r="BF29" i="7"/>
  <c r="BN29" i="7"/>
  <c r="AX30" i="7"/>
  <c r="BF30" i="7"/>
  <c r="BN30" i="7"/>
  <c r="AX31" i="7"/>
  <c r="BF31" i="7"/>
  <c r="BN31" i="7"/>
  <c r="AX32" i="7"/>
  <c r="BF32" i="7"/>
  <c r="BN32" i="7"/>
  <c r="AX33" i="7"/>
  <c r="BF33" i="7"/>
  <c r="BN33" i="7"/>
  <c r="AX34" i="7"/>
  <c r="BF34" i="7"/>
  <c r="BN34" i="7"/>
  <c r="AX35" i="7"/>
  <c r="BF35" i="7"/>
  <c r="BN35" i="7"/>
  <c r="AX36" i="7"/>
  <c r="BF36" i="7"/>
  <c r="BN36" i="7"/>
  <c r="AX37" i="7"/>
  <c r="BF37" i="7"/>
  <c r="BN37" i="7"/>
  <c r="AX38" i="7"/>
  <c r="BF38" i="7"/>
  <c r="BN38" i="7"/>
  <c r="AX39" i="7"/>
  <c r="BF39" i="7"/>
  <c r="BN39" i="7"/>
  <c r="AX40" i="7"/>
  <c r="BF40" i="7"/>
  <c r="BN40" i="7"/>
  <c r="AX41" i="7"/>
  <c r="BF41" i="7"/>
  <c r="BN41" i="7"/>
  <c r="AQ988" i="7"/>
  <c r="AQ968" i="7"/>
  <c r="AQ948" i="7"/>
  <c r="AQ928" i="7"/>
  <c r="AQ908" i="7"/>
  <c r="AQ868" i="7"/>
  <c r="AQ866" i="7"/>
  <c r="AQ848" i="7"/>
  <c r="AQ828" i="7"/>
  <c r="AQ808" i="7"/>
  <c r="AQ806" i="7"/>
  <c r="AQ794" i="7"/>
  <c r="AQ788" i="7"/>
  <c r="AQ786" i="7"/>
  <c r="AQ768" i="7"/>
  <c r="AQ766" i="7"/>
  <c r="AQ748" i="7"/>
  <c r="AQ746" i="7"/>
  <c r="AQ728" i="7"/>
  <c r="AQ726" i="7"/>
  <c r="AQ714" i="7"/>
  <c r="AQ708" i="7"/>
  <c r="AQ688" i="7"/>
  <c r="AQ686" i="7"/>
  <c r="AQ668" i="7"/>
  <c r="AQ666" i="7"/>
  <c r="AQ664" i="7"/>
  <c r="AQ648" i="7"/>
  <c r="AQ566" i="7"/>
  <c r="AQ548" i="7"/>
  <c r="AQ508" i="7"/>
  <c r="AQ444" i="7"/>
  <c r="AQ384" i="7"/>
  <c r="AQ338" i="7"/>
  <c r="AQ318" i="7"/>
  <c r="AQ298" i="7"/>
  <c r="AQ186" i="7"/>
  <c r="AQ184" i="7"/>
  <c r="AQ158" i="7"/>
  <c r="AQ144" i="7"/>
  <c r="AQ142" i="7"/>
  <c r="AQ84" i="7"/>
  <c r="AQ82" i="7"/>
  <c r="AQ58" i="7"/>
  <c r="AQ38" i="7"/>
  <c r="B5" i="3"/>
  <c r="U12" i="3"/>
  <c r="U13" i="4"/>
  <c r="T3" i="4"/>
  <c r="R3" i="4" s="1"/>
  <c r="T3" i="3"/>
  <c r="R3" i="3" s="1"/>
  <c r="B5" i="4"/>
  <c r="J15" i="10" l="1"/>
  <c r="J19" i="10"/>
  <c r="J17" i="10"/>
  <c r="R20" i="10"/>
  <c r="AQ34" i="7"/>
  <c r="AQ36" i="7"/>
  <c r="M129" i="7"/>
  <c r="AQ22" i="7"/>
  <c r="AZ12" i="7"/>
  <c r="BA10" i="7"/>
  <c r="BA12" i="7"/>
  <c r="AQ56" i="7"/>
  <c r="BB12" i="7"/>
  <c r="BB10" i="7"/>
  <c r="BA13" i="7"/>
  <c r="AZ13" i="7"/>
  <c r="BC12" i="7"/>
  <c r="BC10" i="7"/>
  <c r="BC9" i="7"/>
  <c r="AP1102" i="7"/>
  <c r="BS41" i="7" s="1"/>
  <c r="AO1102" i="7"/>
  <c r="BR41" i="7" s="1"/>
  <c r="AM1101" i="7"/>
  <c r="BP40" i="7" s="1"/>
  <c r="AN1101" i="7"/>
  <c r="BQ40" i="7" s="1"/>
  <c r="AQ986" i="7"/>
  <c r="AN1102" i="7"/>
  <c r="BQ41" i="7" s="1"/>
  <c r="AM1102" i="7"/>
  <c r="BP41" i="7" s="1"/>
  <c r="AN1068" i="7"/>
  <c r="BI40" i="7" s="1"/>
  <c r="AN1064" i="7"/>
  <c r="BI36" i="7" s="1"/>
  <c r="AN1096" i="7"/>
  <c r="BQ35" i="7" s="1"/>
  <c r="AN1074" i="7"/>
  <c r="BQ13" i="7" s="1"/>
  <c r="AN1070" i="7"/>
  <c r="BQ9" i="7" s="1"/>
  <c r="AN1052" i="7"/>
  <c r="BI24" i="7" s="1"/>
  <c r="AM1100" i="7"/>
  <c r="BP39" i="7" s="1"/>
  <c r="AN1080" i="7"/>
  <c r="BQ19" i="7" s="1"/>
  <c r="AN1054" i="7"/>
  <c r="BI26" i="7" s="1"/>
  <c r="AO1100" i="7"/>
  <c r="BR39" i="7" s="1"/>
  <c r="AN1090" i="7"/>
  <c r="BQ29" i="7" s="1"/>
  <c r="AN1058" i="7"/>
  <c r="BI30" i="7" s="1"/>
  <c r="AN1086" i="7"/>
  <c r="BQ25" i="7" s="1"/>
  <c r="AP1054" i="7"/>
  <c r="BK26" i="7" s="1"/>
  <c r="AN1084" i="7"/>
  <c r="BQ23" i="7" s="1"/>
  <c r="AO1054" i="7"/>
  <c r="BJ26" i="7" s="1"/>
  <c r="AM1099" i="7"/>
  <c r="BP38" i="7" s="1"/>
  <c r="AM1095" i="7"/>
  <c r="BP34" i="7" s="1"/>
  <c r="AN1092" i="7"/>
  <c r="BQ31" i="7" s="1"/>
  <c r="AN1089" i="7"/>
  <c r="BQ28" i="7" s="1"/>
  <c r="AM1079" i="7"/>
  <c r="BP18" i="7" s="1"/>
  <c r="AN1076" i="7"/>
  <c r="BQ15" i="7" s="1"/>
  <c r="AN1073" i="7"/>
  <c r="BQ12" i="7" s="1"/>
  <c r="AM1063" i="7"/>
  <c r="BH35" i="7" s="1"/>
  <c r="AN1060" i="7"/>
  <c r="BI32" i="7" s="1"/>
  <c r="AN1057" i="7"/>
  <c r="BI29" i="7" s="1"/>
  <c r="AP1053" i="7"/>
  <c r="BK25" i="7" s="1"/>
  <c r="AO1052" i="7"/>
  <c r="BJ24" i="7" s="1"/>
  <c r="AM1051" i="7"/>
  <c r="BH23" i="7" s="1"/>
  <c r="AM1047" i="7"/>
  <c r="BH19" i="7" s="1"/>
  <c r="AO1039" i="7"/>
  <c r="BJ11" i="7" s="1"/>
  <c r="AM1035" i="7"/>
  <c r="AZ40" i="7" s="1"/>
  <c r="AZ27" i="7"/>
  <c r="AM1089" i="7"/>
  <c r="BP28" i="7" s="1"/>
  <c r="AN1083" i="7"/>
  <c r="BQ22" i="7" s="1"/>
  <c r="AM1073" i="7"/>
  <c r="BP12" i="7" s="1"/>
  <c r="AN1067" i="7"/>
  <c r="BI39" i="7" s="1"/>
  <c r="AM1057" i="7"/>
  <c r="BH29" i="7" s="1"/>
  <c r="AN1053" i="7"/>
  <c r="BI25" i="7" s="1"/>
  <c r="AN1045" i="7"/>
  <c r="BI17" i="7" s="1"/>
  <c r="AN1039" i="7"/>
  <c r="BI11" i="7" s="1"/>
  <c r="AN1033" i="7"/>
  <c r="BA38" i="7" s="1"/>
  <c r="BA23" i="7"/>
  <c r="AN1093" i="7"/>
  <c r="BQ32" i="7" s="1"/>
  <c r="AM1083" i="7"/>
  <c r="BP22" i="7" s="1"/>
  <c r="AN1077" i="7"/>
  <c r="BQ16" i="7" s="1"/>
  <c r="AM1067" i="7"/>
  <c r="BH39" i="7" s="1"/>
  <c r="AN1061" i="7"/>
  <c r="BI33" i="7" s="1"/>
  <c r="AM1053" i="7"/>
  <c r="BH25" i="7" s="1"/>
  <c r="AM1045" i="7"/>
  <c r="BH17" i="7" s="1"/>
  <c r="AM1039" i="7"/>
  <c r="BH11" i="7" s="1"/>
  <c r="AO1097" i="7"/>
  <c r="BR36" i="7" s="1"/>
  <c r="AM1093" i="7"/>
  <c r="BP32" i="7" s="1"/>
  <c r="AN1087" i="7"/>
  <c r="BQ26" i="7" s="1"/>
  <c r="AM1077" i="7"/>
  <c r="BP16" i="7" s="1"/>
  <c r="AN1071" i="7"/>
  <c r="BQ10" i="7" s="1"/>
  <c r="AM1061" i="7"/>
  <c r="BH33" i="7" s="1"/>
  <c r="AN1055" i="7"/>
  <c r="BI27" i="7" s="1"/>
  <c r="AN1043" i="7"/>
  <c r="BI15" i="7" s="1"/>
  <c r="AO1037" i="7"/>
  <c r="BJ9" i="7" s="1"/>
  <c r="BC30" i="7"/>
  <c r="AN1097" i="7"/>
  <c r="BQ36" i="7" s="1"/>
  <c r="AM1087" i="7"/>
  <c r="BP26" i="7" s="1"/>
  <c r="AN1081" i="7"/>
  <c r="BQ20" i="7" s="1"/>
  <c r="AM1071" i="7"/>
  <c r="BP10" i="7" s="1"/>
  <c r="AN1065" i="7"/>
  <c r="BI37" i="7" s="1"/>
  <c r="AM1055" i="7"/>
  <c r="BH27" i="7" s="1"/>
  <c r="AP1049" i="7"/>
  <c r="BK21" i="7" s="1"/>
  <c r="AM1043" i="7"/>
  <c r="BH15" i="7" s="1"/>
  <c r="AN1037" i="7"/>
  <c r="BI9" i="7" s="1"/>
  <c r="AO1098" i="7"/>
  <c r="BR37" i="7" s="1"/>
  <c r="AM1097" i="7"/>
  <c r="BP36" i="7" s="1"/>
  <c r="AN1094" i="7"/>
  <c r="BQ33" i="7" s="1"/>
  <c r="AN1091" i="7"/>
  <c r="BQ30" i="7" s="1"/>
  <c r="AM1081" i="7"/>
  <c r="BP20" i="7" s="1"/>
  <c r="AN1078" i="7"/>
  <c r="BQ17" i="7" s="1"/>
  <c r="AN1075" i="7"/>
  <c r="BQ14" i="7" s="1"/>
  <c r="AM1065" i="7"/>
  <c r="BH37" i="7" s="1"/>
  <c r="AN1062" i="7"/>
  <c r="BI34" i="7" s="1"/>
  <c r="AN1059" i="7"/>
  <c r="BI31" i="7" s="1"/>
  <c r="AP1050" i="7"/>
  <c r="BK22" i="7" s="1"/>
  <c r="AN1049" i="7"/>
  <c r="BI21" i="7" s="1"/>
  <c r="AO1041" i="7"/>
  <c r="BJ13" i="7" s="1"/>
  <c r="AM1037" i="7"/>
  <c r="BH9" i="7" s="1"/>
  <c r="AO1099" i="7"/>
  <c r="BR38" i="7" s="1"/>
  <c r="AM1098" i="7"/>
  <c r="BP37" i="7" s="1"/>
  <c r="AM1091" i="7"/>
  <c r="BP30" i="7" s="1"/>
  <c r="AN1088" i="7"/>
  <c r="BQ27" i="7" s="1"/>
  <c r="AN1085" i="7"/>
  <c r="BQ24" i="7" s="1"/>
  <c r="AM1075" i="7"/>
  <c r="BP14" i="7" s="1"/>
  <c r="AN1072" i="7"/>
  <c r="BQ11" i="7" s="1"/>
  <c r="AN1069" i="7"/>
  <c r="BI41" i="7" s="1"/>
  <c r="AM1059" i="7"/>
  <c r="BH31" i="7" s="1"/>
  <c r="AN1056" i="7"/>
  <c r="BI28" i="7" s="1"/>
  <c r="AP1051" i="7"/>
  <c r="BK23" i="7" s="1"/>
  <c r="AO1050" i="7"/>
  <c r="BJ22" i="7" s="1"/>
  <c r="AM1049" i="7"/>
  <c r="BH21" i="7" s="1"/>
  <c r="AN1041" i="7"/>
  <c r="BI13" i="7" s="1"/>
  <c r="AO1035" i="7"/>
  <c r="BB40" i="7" s="1"/>
  <c r="AP1030" i="7"/>
  <c r="BC35" i="7" s="1"/>
  <c r="AN1099" i="7"/>
  <c r="BQ38" i="7" s="1"/>
  <c r="AN1095" i="7"/>
  <c r="BQ34" i="7" s="1"/>
  <c r="AM1085" i="7"/>
  <c r="BP24" i="7" s="1"/>
  <c r="AN1082" i="7"/>
  <c r="BQ21" i="7" s="1"/>
  <c r="AN1079" i="7"/>
  <c r="BQ18" i="7" s="1"/>
  <c r="AM1069" i="7"/>
  <c r="BH41" i="7" s="1"/>
  <c r="AN1066" i="7"/>
  <c r="BI38" i="7" s="1"/>
  <c r="AN1063" i="7"/>
  <c r="BI35" i="7" s="1"/>
  <c r="AP1052" i="7"/>
  <c r="BK24" i="7" s="1"/>
  <c r="AN1051" i="7"/>
  <c r="BI23" i="7" s="1"/>
  <c r="AN1050" i="7"/>
  <c r="BI22" i="7" s="1"/>
  <c r="AN1047" i="7"/>
  <c r="BI19" i="7" s="1"/>
  <c r="AM1041" i="7"/>
  <c r="BH13" i="7" s="1"/>
  <c r="AN1035" i="7"/>
  <c r="BA40" i="7" s="1"/>
  <c r="BC28" i="7"/>
  <c r="BC26" i="7"/>
  <c r="AQ16" i="7"/>
  <c r="AZ14" i="7"/>
  <c r="AM1032" i="7"/>
  <c r="AZ37" i="7" s="1"/>
  <c r="BC32" i="7"/>
  <c r="BA25" i="7"/>
  <c r="BB18" i="7"/>
  <c r="AO1033" i="7"/>
  <c r="BB38" i="7" s="1"/>
  <c r="AZ11" i="7"/>
  <c r="BC23" i="7"/>
  <c r="BB16" i="7"/>
  <c r="BC27" i="7"/>
  <c r="AQ234" i="7"/>
  <c r="AQ254" i="7"/>
  <c r="AQ294" i="7"/>
  <c r="AQ132" i="7"/>
  <c r="AO1031" i="7"/>
  <c r="BB36" i="7" s="1"/>
  <c r="BB28" i="7"/>
  <c r="BC24" i="7"/>
  <c r="BB17" i="7"/>
  <c r="AZ10" i="7"/>
  <c r="AQ202" i="7"/>
  <c r="AQ152" i="7"/>
  <c r="BC29" i="7"/>
  <c r="BA28" i="7"/>
  <c r="BC25" i="7"/>
  <c r="AQ112" i="7"/>
  <c r="AP1029" i="7"/>
  <c r="BC34" i="7" s="1"/>
  <c r="BB29" i="7"/>
  <c r="BB25" i="7"/>
  <c r="BB15" i="7"/>
  <c r="AP1101" i="7"/>
  <c r="BS40" i="7" s="1"/>
  <c r="AP1100" i="7"/>
  <c r="BS39" i="7" s="1"/>
  <c r="AP1099" i="7"/>
  <c r="BS38" i="7" s="1"/>
  <c r="AP1098" i="7"/>
  <c r="BS37" i="7" s="1"/>
  <c r="AP1097" i="7"/>
  <c r="BS36" i="7" s="1"/>
  <c r="AN1100" i="7"/>
  <c r="BQ39" i="7" s="1"/>
  <c r="AN1098" i="7"/>
  <c r="BQ37" i="7" s="1"/>
  <c r="AM1086" i="7"/>
  <c r="BP25" i="7" s="1"/>
  <c r="AM1084" i="7"/>
  <c r="BP23" i="7" s="1"/>
  <c r="AM1068" i="7"/>
  <c r="BH40" i="7" s="1"/>
  <c r="AO1096" i="7"/>
  <c r="BR35" i="7" s="1"/>
  <c r="AO1095" i="7"/>
  <c r="BR34" i="7" s="1"/>
  <c r="AO1094" i="7"/>
  <c r="BR33" i="7" s="1"/>
  <c r="AO1093" i="7"/>
  <c r="BR32" i="7" s="1"/>
  <c r="AO1092" i="7"/>
  <c r="BR31" i="7" s="1"/>
  <c r="AO1091" i="7"/>
  <c r="BR30" i="7" s="1"/>
  <c r="AO1090" i="7"/>
  <c r="BR29" i="7" s="1"/>
  <c r="AO1089" i="7"/>
  <c r="BR28" i="7" s="1"/>
  <c r="AO1088" i="7"/>
  <c r="BR27" i="7" s="1"/>
  <c r="AO1087" i="7"/>
  <c r="BR26" i="7" s="1"/>
  <c r="AO1086" i="7"/>
  <c r="BR25" i="7" s="1"/>
  <c r="AO1085" i="7"/>
  <c r="BR24" i="7" s="1"/>
  <c r="AO1084" i="7"/>
  <c r="BR23" i="7" s="1"/>
  <c r="AO1083" i="7"/>
  <c r="BR22" i="7" s="1"/>
  <c r="AO1082" i="7"/>
  <c r="BR21" i="7" s="1"/>
  <c r="AO1081" i="7"/>
  <c r="BR20" i="7" s="1"/>
  <c r="AO1080" i="7"/>
  <c r="BR19" i="7" s="1"/>
  <c r="AO1079" i="7"/>
  <c r="BR18" i="7" s="1"/>
  <c r="AO1078" i="7"/>
  <c r="BR17" i="7" s="1"/>
  <c r="AO1077" i="7"/>
  <c r="BR16" i="7" s="1"/>
  <c r="AO1076" i="7"/>
  <c r="BR15" i="7" s="1"/>
  <c r="AO1075" i="7"/>
  <c r="BR14" i="7" s="1"/>
  <c r="AO1074" i="7"/>
  <c r="BR13" i="7" s="1"/>
  <c r="AO1073" i="7"/>
  <c r="BR12" i="7" s="1"/>
  <c r="AO1072" i="7"/>
  <c r="BR11" i="7" s="1"/>
  <c r="AO1071" i="7"/>
  <c r="BR10" i="7" s="1"/>
  <c r="AO1070" i="7"/>
  <c r="BR9" i="7" s="1"/>
  <c r="AO1069" i="7"/>
  <c r="BJ41" i="7" s="1"/>
  <c r="AO1068" i="7"/>
  <c r="BJ40" i="7" s="1"/>
  <c r="AO1067" i="7"/>
  <c r="BJ39" i="7" s="1"/>
  <c r="AO1066" i="7"/>
  <c r="BJ38" i="7" s="1"/>
  <c r="AO1065" i="7"/>
  <c r="BJ37" i="7" s="1"/>
  <c r="AO1064" i="7"/>
  <c r="BJ36" i="7" s="1"/>
  <c r="AO1063" i="7"/>
  <c r="BJ35" i="7" s="1"/>
  <c r="AO1062" i="7"/>
  <c r="BJ34" i="7" s="1"/>
  <c r="AO1061" i="7"/>
  <c r="BJ33" i="7" s="1"/>
  <c r="AO1060" i="7"/>
  <c r="BJ32" i="7" s="1"/>
  <c r="AO1059" i="7"/>
  <c r="BJ31" i="7" s="1"/>
  <c r="AO1058" i="7"/>
  <c r="BJ30" i="7" s="1"/>
  <c r="AO1057" i="7"/>
  <c r="BJ29" i="7" s="1"/>
  <c r="AO1056" i="7"/>
  <c r="BJ28" i="7" s="1"/>
  <c r="AO1055" i="7"/>
  <c r="BJ27" i="7" s="1"/>
  <c r="AM1076" i="7"/>
  <c r="BP15" i="7" s="1"/>
  <c r="AM1092" i="7"/>
  <c r="BP31" i="7" s="1"/>
  <c r="AM1056" i="7"/>
  <c r="BH28" i="7" s="1"/>
  <c r="AM1094" i="7"/>
  <c r="BP33" i="7" s="1"/>
  <c r="AM1074" i="7"/>
  <c r="BP13" i="7" s="1"/>
  <c r="AM1066" i="7"/>
  <c r="BH38" i="7" s="1"/>
  <c r="AM1096" i="7"/>
  <c r="BP35" i="7" s="1"/>
  <c r="AM1078" i="7"/>
  <c r="BP17" i="7" s="1"/>
  <c r="AM1072" i="7"/>
  <c r="BP11" i="7" s="1"/>
  <c r="AM1064" i="7"/>
  <c r="BH36" i="7" s="1"/>
  <c r="AM1062" i="7"/>
  <c r="BH34" i="7" s="1"/>
  <c r="AM1060" i="7"/>
  <c r="BH32" i="7" s="1"/>
  <c r="AM1058" i="7"/>
  <c r="BH30" i="7" s="1"/>
  <c r="AM1090" i="7"/>
  <c r="BP29" i="7" s="1"/>
  <c r="AM1088" i="7"/>
  <c r="BP27" i="7" s="1"/>
  <c r="AM1082" i="7"/>
  <c r="BP21" i="7" s="1"/>
  <c r="AM1080" i="7"/>
  <c r="BP19" i="7" s="1"/>
  <c r="AM1070" i="7"/>
  <c r="BP9" i="7" s="1"/>
  <c r="AP1096" i="7"/>
  <c r="BS35" i="7" s="1"/>
  <c r="AP1095" i="7"/>
  <c r="BS34" i="7" s="1"/>
  <c r="AP1094" i="7"/>
  <c r="BS33" i="7" s="1"/>
  <c r="AP1093" i="7"/>
  <c r="BS32" i="7" s="1"/>
  <c r="AP1092" i="7"/>
  <c r="BS31" i="7" s="1"/>
  <c r="AP1091" i="7"/>
  <c r="BS30" i="7" s="1"/>
  <c r="AP1090" i="7"/>
  <c r="BS29" i="7" s="1"/>
  <c r="AP1089" i="7"/>
  <c r="BS28" i="7" s="1"/>
  <c r="AP1088" i="7"/>
  <c r="BS27" i="7" s="1"/>
  <c r="AP1087" i="7"/>
  <c r="BS26" i="7" s="1"/>
  <c r="AP1086" i="7"/>
  <c r="BS25" i="7" s="1"/>
  <c r="AP1085" i="7"/>
  <c r="BS24" i="7" s="1"/>
  <c r="AP1084" i="7"/>
  <c r="BS23" i="7" s="1"/>
  <c r="AP1083" i="7"/>
  <c r="BS22" i="7" s="1"/>
  <c r="AP1082" i="7"/>
  <c r="BS21" i="7" s="1"/>
  <c r="AP1081" i="7"/>
  <c r="BS20" i="7" s="1"/>
  <c r="AP1080" i="7"/>
  <c r="BS19" i="7" s="1"/>
  <c r="AP1079" i="7"/>
  <c r="BS18" i="7" s="1"/>
  <c r="AP1078" i="7"/>
  <c r="BS17" i="7" s="1"/>
  <c r="AP1077" i="7"/>
  <c r="BS16" i="7" s="1"/>
  <c r="AP1076" i="7"/>
  <c r="BS15" i="7" s="1"/>
  <c r="AP1075" i="7"/>
  <c r="BS14" i="7" s="1"/>
  <c r="AP1074" i="7"/>
  <c r="BS13" i="7" s="1"/>
  <c r="AP1073" i="7"/>
  <c r="BS12" i="7" s="1"/>
  <c r="AP1072" i="7"/>
  <c r="BS11" i="7" s="1"/>
  <c r="AP1071" i="7"/>
  <c r="BS10" i="7" s="1"/>
  <c r="AP1070" i="7"/>
  <c r="BS9" i="7" s="1"/>
  <c r="AP1069" i="7"/>
  <c r="BK41" i="7" s="1"/>
  <c r="AP1068" i="7"/>
  <c r="BK40" i="7" s="1"/>
  <c r="AP1067" i="7"/>
  <c r="BK39" i="7" s="1"/>
  <c r="AP1066" i="7"/>
  <c r="BK38" i="7" s="1"/>
  <c r="AP1065" i="7"/>
  <c r="BK37" i="7" s="1"/>
  <c r="AP1064" i="7"/>
  <c r="BK36" i="7" s="1"/>
  <c r="AP1063" i="7"/>
  <c r="BK35" i="7" s="1"/>
  <c r="AP1062" i="7"/>
  <c r="BK34" i="7" s="1"/>
  <c r="AP1061" i="7"/>
  <c r="BK33" i="7" s="1"/>
  <c r="AP1060" i="7"/>
  <c r="BK32" i="7" s="1"/>
  <c r="AP1059" i="7"/>
  <c r="BK31" i="7" s="1"/>
  <c r="AP1058" i="7"/>
  <c r="BK30" i="7" s="1"/>
  <c r="AP1057" i="7"/>
  <c r="BK29" i="7" s="1"/>
  <c r="AP1056" i="7"/>
  <c r="BK28" i="7" s="1"/>
  <c r="AP1055" i="7"/>
  <c r="BK27" i="7" s="1"/>
  <c r="AM1052" i="7"/>
  <c r="BH24" i="7" s="1"/>
  <c r="AO1053" i="7"/>
  <c r="BJ25" i="7" s="1"/>
  <c r="AO1051" i="7"/>
  <c r="BJ23" i="7" s="1"/>
  <c r="AO1049" i="7"/>
  <c r="BJ21" i="7" s="1"/>
  <c r="AM1054" i="7"/>
  <c r="BH26" i="7" s="1"/>
  <c r="AM1050" i="7"/>
  <c r="BH22" i="7" s="1"/>
  <c r="AO1048" i="7"/>
  <c r="BJ20" i="7" s="1"/>
  <c r="AO1047" i="7"/>
  <c r="BJ19" i="7" s="1"/>
  <c r="AO1046" i="7"/>
  <c r="BJ18" i="7" s="1"/>
  <c r="AO1045" i="7"/>
  <c r="BJ17" i="7" s="1"/>
  <c r="AO1044" i="7"/>
  <c r="BJ16" i="7" s="1"/>
  <c r="AO1043" i="7"/>
  <c r="BJ15" i="7" s="1"/>
  <c r="AN1048" i="7"/>
  <c r="BI20" i="7" s="1"/>
  <c r="AN1046" i="7"/>
  <c r="BI18" i="7" s="1"/>
  <c r="AN1044" i="7"/>
  <c r="BI16" i="7" s="1"/>
  <c r="AM1048" i="7"/>
  <c r="BH20" i="7" s="1"/>
  <c r="AM1046" i="7"/>
  <c r="BH18" i="7" s="1"/>
  <c r="AM1044" i="7"/>
  <c r="BH16" i="7" s="1"/>
  <c r="AP1048" i="7"/>
  <c r="BK20" i="7" s="1"/>
  <c r="AP1047" i="7"/>
  <c r="BK19" i="7" s="1"/>
  <c r="AP1046" i="7"/>
  <c r="BK18" i="7" s="1"/>
  <c r="AP1045" i="7"/>
  <c r="BK17" i="7" s="1"/>
  <c r="AP1044" i="7"/>
  <c r="BK16" i="7" s="1"/>
  <c r="AP1043" i="7"/>
  <c r="BK15" i="7" s="1"/>
  <c r="AP1042" i="7"/>
  <c r="BK14" i="7" s="1"/>
  <c r="AP1041" i="7"/>
  <c r="BK13" i="7" s="1"/>
  <c r="AP1040" i="7"/>
  <c r="BK12" i="7" s="1"/>
  <c r="AP1039" i="7"/>
  <c r="BK11" i="7" s="1"/>
  <c r="AP1038" i="7"/>
  <c r="BK10" i="7" s="1"/>
  <c r="AP1037" i="7"/>
  <c r="BK9" i="7" s="1"/>
  <c r="AO1042" i="7"/>
  <c r="BJ14" i="7" s="1"/>
  <c r="AO1040" i="7"/>
  <c r="BJ12" i="7" s="1"/>
  <c r="AO1038" i="7"/>
  <c r="BJ10" i="7" s="1"/>
  <c r="AN1042" i="7"/>
  <c r="BI14" i="7" s="1"/>
  <c r="AN1040" i="7"/>
  <c r="BI12" i="7" s="1"/>
  <c r="AN1038" i="7"/>
  <c r="BI10" i="7" s="1"/>
  <c r="AM1042" i="7"/>
  <c r="BH14" i="7" s="1"/>
  <c r="AM1040" i="7"/>
  <c r="BH12" i="7" s="1"/>
  <c r="AM1038" i="7"/>
  <c r="BH10" i="7" s="1"/>
  <c r="AP1036" i="7"/>
  <c r="BC41" i="7" s="1"/>
  <c r="AP1035" i="7"/>
  <c r="BC40" i="7" s="1"/>
  <c r="AP1034" i="7"/>
  <c r="BC39" i="7" s="1"/>
  <c r="AP1033" i="7"/>
  <c r="BC38" i="7" s="1"/>
  <c r="AP1032" i="7"/>
  <c r="BC37" i="7" s="1"/>
  <c r="AP1031" i="7"/>
  <c r="BC36" i="7" s="1"/>
  <c r="AO1036" i="7"/>
  <c r="BB41" i="7" s="1"/>
  <c r="AO1034" i="7"/>
  <c r="BB39" i="7" s="1"/>
  <c r="AO1032" i="7"/>
  <c r="BB37" i="7" s="1"/>
  <c r="AN1036" i="7"/>
  <c r="BA41" i="7" s="1"/>
  <c r="AN1034" i="7"/>
  <c r="BA39" i="7" s="1"/>
  <c r="AN1031" i="7"/>
  <c r="BA36" i="7" s="1"/>
  <c r="AM1036" i="7"/>
  <c r="AZ41" i="7" s="1"/>
  <c r="AM1034" i="7"/>
  <c r="AZ39" i="7" s="1"/>
  <c r="AM1033" i="7"/>
  <c r="AZ38" i="7" s="1"/>
  <c r="AM1031" i="7"/>
  <c r="AZ36" i="7" s="1"/>
  <c r="AQ224" i="7"/>
  <c r="AQ274" i="7"/>
  <c r="AO1030" i="7"/>
  <c r="BB35" i="7" s="1"/>
  <c r="AO1029" i="7"/>
  <c r="BB34" i="7" s="1"/>
  <c r="BB33" i="7"/>
  <c r="BB32" i="7"/>
  <c r="BB31" i="7"/>
  <c r="BB30" i="7"/>
  <c r="AQ244" i="7"/>
  <c r="BC33" i="7"/>
  <c r="BC31" i="7"/>
  <c r="AQ264" i="7"/>
  <c r="AM1030" i="7"/>
  <c r="AZ35" i="7" s="1"/>
  <c r="AM1029" i="7"/>
  <c r="AZ34" i="7" s="1"/>
  <c r="AZ33" i="7"/>
  <c r="AZ32" i="7"/>
  <c r="AZ31" i="7"/>
  <c r="AZ30" i="7"/>
  <c r="BB27" i="7"/>
  <c r="BB26" i="7"/>
  <c r="BB24" i="7"/>
  <c r="AQ182" i="7"/>
  <c r="BA29" i="7"/>
  <c r="BA27" i="7"/>
  <c r="BA26" i="7"/>
  <c r="BA24" i="7"/>
  <c r="AZ25" i="7"/>
  <c r="AZ29" i="7"/>
  <c r="AZ24" i="7"/>
  <c r="BC22" i="7"/>
  <c r="BC21" i="7"/>
  <c r="BC20" i="7"/>
  <c r="BB23" i="7"/>
  <c r="BB22" i="7"/>
  <c r="BB21" i="7"/>
  <c r="BB20" i="7"/>
  <c r="BA22" i="7"/>
  <c r="BA21" i="7"/>
  <c r="BA20" i="7"/>
  <c r="AQ122" i="7"/>
  <c r="AZ22" i="7"/>
  <c r="AZ18" i="7"/>
  <c r="AZ17" i="7"/>
  <c r="AZ16" i="7"/>
  <c r="BC19" i="7"/>
  <c r="BC18" i="7"/>
  <c r="BC17" i="7"/>
  <c r="BC16" i="7"/>
  <c r="BB19" i="7"/>
  <c r="BA19" i="7"/>
  <c r="BA18" i="7"/>
  <c r="BA17" i="7"/>
  <c r="BA16" i="7"/>
  <c r="BC15" i="7"/>
  <c r="BA15" i="7"/>
  <c r="AZ15" i="7"/>
  <c r="BB14" i="7"/>
  <c r="BA14" i="7"/>
  <c r="BC14" i="7"/>
  <c r="BC13" i="7"/>
  <c r="BB13" i="7"/>
  <c r="AQ14" i="7"/>
  <c r="BA11" i="7"/>
  <c r="BB11" i="7"/>
  <c r="BC11" i="7"/>
  <c r="F3" i="8"/>
  <c r="A4" i="8" s="1"/>
  <c r="L22" i="4"/>
  <c r="P22" i="4" s="1"/>
  <c r="P20" i="3"/>
  <c r="M20" i="3" s="1"/>
  <c r="A20" i="3" s="1"/>
  <c r="AJ33" i="2"/>
  <c r="AJ34" i="2"/>
  <c r="AJ35" i="2"/>
  <c r="AJ36" i="2"/>
  <c r="AJ37" i="2"/>
  <c r="AJ38" i="2"/>
  <c r="AJ39" i="2"/>
  <c r="AJ40" i="2"/>
  <c r="AJ41" i="2"/>
  <c r="AJ42" i="2"/>
  <c r="AJ43" i="2"/>
  <c r="AJ44" i="2"/>
  <c r="AJ45" i="2"/>
  <c r="AJ46" i="2"/>
  <c r="AJ47" i="2"/>
  <c r="AJ48" i="2"/>
  <c r="AJ49" i="2"/>
  <c r="AJ57" i="2"/>
  <c r="AJ58" i="2"/>
  <c r="AJ59" i="2"/>
  <c r="AJ60" i="2"/>
  <c r="AJ61" i="2"/>
  <c r="AJ62" i="2"/>
  <c r="AJ63" i="2"/>
  <c r="AJ64" i="2"/>
  <c r="AJ65" i="2"/>
  <c r="AJ66" i="2"/>
  <c r="AJ67" i="2"/>
  <c r="AJ68" i="2"/>
  <c r="AJ69" i="2"/>
  <c r="AJ70" i="2"/>
  <c r="AJ71" i="2"/>
  <c r="AJ72" i="2"/>
  <c r="AJ73" i="2"/>
  <c r="AJ81" i="2"/>
  <c r="AJ82" i="2"/>
  <c r="AJ83" i="2"/>
  <c r="AJ84" i="2"/>
  <c r="AJ85" i="2"/>
  <c r="AJ86" i="2"/>
  <c r="AJ87" i="2"/>
  <c r="AJ88" i="2"/>
  <c r="AJ89" i="2"/>
  <c r="AJ90" i="2"/>
  <c r="AJ91" i="2"/>
  <c r="AJ92" i="2"/>
  <c r="AJ93" i="2"/>
  <c r="AJ94" i="2"/>
  <c r="AJ95" i="2"/>
  <c r="AJ96" i="2"/>
  <c r="AJ97" i="2"/>
  <c r="AJ98" i="2"/>
  <c r="AJ99" i="2"/>
  <c r="AJ100" i="2"/>
  <c r="AJ101" i="2"/>
  <c r="AJ102" i="2"/>
  <c r="AJ103" i="2"/>
  <c r="AJ104" i="2"/>
  <c r="AJ80" i="2"/>
  <c r="AJ56" i="2"/>
  <c r="AJ32" i="2"/>
  <c r="AJ8" i="2"/>
  <c r="AJ79" i="2"/>
  <c r="AJ55" i="2"/>
  <c r="AJ31" i="2"/>
  <c r="AJ7" i="2"/>
  <c r="AJ22" i="2"/>
  <c r="AJ23" i="2"/>
  <c r="AJ24" i="2"/>
  <c r="AJ25" i="2"/>
  <c r="AJ9" i="2"/>
  <c r="AJ10" i="2"/>
  <c r="AJ13" i="2"/>
  <c r="AJ14" i="2"/>
  <c r="AJ15" i="2"/>
  <c r="AJ16" i="2"/>
  <c r="AJ17" i="2"/>
  <c r="AJ18" i="2"/>
  <c r="AJ19" i="2"/>
  <c r="AJ20" i="2"/>
  <c r="AJ21" i="2"/>
  <c r="AJ11" i="2"/>
  <c r="AJ12" i="2"/>
  <c r="D7" i="7"/>
  <c r="AI2" i="7"/>
  <c r="B7" i="7"/>
  <c r="A8" i="7"/>
  <c r="A9" i="7" s="1"/>
  <c r="B3" i="7"/>
  <c r="J2" i="7" s="1"/>
  <c r="B6" i="8"/>
  <c r="I5" i="4"/>
  <c r="N3" i="4" s="1"/>
  <c r="A10" i="4"/>
  <c r="G3" i="4"/>
  <c r="G3" i="3"/>
  <c r="AF7" i="2"/>
  <c r="AB7" i="2" s="1"/>
  <c r="AF8" i="2"/>
  <c r="AB8" i="2" s="1"/>
  <c r="AF9" i="2"/>
  <c r="AB9" i="2" s="1"/>
  <c r="AF10" i="2"/>
  <c r="AB10" i="2" s="1"/>
  <c r="AF11" i="2"/>
  <c r="AB11" i="2" s="1"/>
  <c r="AF12" i="2"/>
  <c r="AB12" i="2" s="1"/>
  <c r="AF13" i="2"/>
  <c r="AB13" i="2" s="1"/>
  <c r="AF14" i="2"/>
  <c r="AB14" i="2" s="1"/>
  <c r="AF15" i="2"/>
  <c r="AB15" i="2" s="1"/>
  <c r="AF16" i="2"/>
  <c r="AB16" i="2" s="1"/>
  <c r="AF17" i="2"/>
  <c r="AB17" i="2" s="1"/>
  <c r="AF18" i="2"/>
  <c r="AB18" i="2" s="1"/>
  <c r="AF19" i="2"/>
  <c r="AB19" i="2" s="1"/>
  <c r="AF20" i="2"/>
  <c r="AB20" i="2" s="1"/>
  <c r="AF21" i="2"/>
  <c r="AB21" i="2" s="1"/>
  <c r="AF22" i="2"/>
  <c r="AB22" i="2" s="1"/>
  <c r="AF23" i="2"/>
  <c r="AB23" i="2" s="1"/>
  <c r="AF24" i="2"/>
  <c r="AB24" i="2" s="1"/>
  <c r="AF25" i="2"/>
  <c r="AB25" i="2" s="1"/>
  <c r="AF26" i="2"/>
  <c r="AB26" i="2" s="1"/>
  <c r="AF27" i="2"/>
  <c r="AB27" i="2" s="1"/>
  <c r="AF28" i="2"/>
  <c r="AB28" i="2" s="1"/>
  <c r="AF29" i="2"/>
  <c r="AB29" i="2" s="1"/>
  <c r="AF30" i="2"/>
  <c r="AB30" i="2" s="1"/>
  <c r="AF31" i="2"/>
  <c r="AB31" i="2" s="1"/>
  <c r="AF32" i="2"/>
  <c r="AB32" i="2" s="1"/>
  <c r="AF33" i="2"/>
  <c r="AB33" i="2" s="1"/>
  <c r="AF34" i="2"/>
  <c r="AB34" i="2" s="1"/>
  <c r="AF35" i="2"/>
  <c r="AB35" i="2" s="1"/>
  <c r="AF36" i="2"/>
  <c r="AB36" i="2" s="1"/>
  <c r="AF37" i="2"/>
  <c r="AB37" i="2" s="1"/>
  <c r="AF38" i="2"/>
  <c r="AB38" i="2" s="1"/>
  <c r="AF39" i="2"/>
  <c r="AB39" i="2" s="1"/>
  <c r="AF40" i="2"/>
  <c r="AB40" i="2" s="1"/>
  <c r="AF41" i="2"/>
  <c r="AB41" i="2" s="1"/>
  <c r="AF42" i="2"/>
  <c r="AB42" i="2" s="1"/>
  <c r="AF43" i="2"/>
  <c r="AB43" i="2" s="1"/>
  <c r="AF44" i="2"/>
  <c r="AB44" i="2" s="1"/>
  <c r="AF45" i="2"/>
  <c r="AB45" i="2" s="1"/>
  <c r="AF46" i="2"/>
  <c r="AB46" i="2" s="1"/>
  <c r="AF47" i="2"/>
  <c r="AB47" i="2" s="1"/>
  <c r="AF48" i="2"/>
  <c r="AB48" i="2" s="1"/>
  <c r="AF49" i="2"/>
  <c r="AB49" i="2" s="1"/>
  <c r="AF50" i="2"/>
  <c r="AB50" i="2" s="1"/>
  <c r="AF51" i="2"/>
  <c r="AB51" i="2" s="1"/>
  <c r="AF52" i="2"/>
  <c r="AB52" i="2" s="1"/>
  <c r="AF53" i="2"/>
  <c r="AB53" i="2" s="1"/>
  <c r="AF54" i="2"/>
  <c r="AB54" i="2" s="1"/>
  <c r="AF55" i="2"/>
  <c r="AB55" i="2" s="1"/>
  <c r="AF56" i="2"/>
  <c r="AB56" i="2" s="1"/>
  <c r="AF57" i="2"/>
  <c r="AB57" i="2" s="1"/>
  <c r="AF58" i="2"/>
  <c r="AB58" i="2" s="1"/>
  <c r="AF59" i="2"/>
  <c r="AB59" i="2" s="1"/>
  <c r="AF60" i="2"/>
  <c r="AB60" i="2" s="1"/>
  <c r="AF61" i="2"/>
  <c r="AB61" i="2" s="1"/>
  <c r="AF62" i="2"/>
  <c r="AB62" i="2" s="1"/>
  <c r="AF63" i="2"/>
  <c r="AB63" i="2" s="1"/>
  <c r="AF64" i="2"/>
  <c r="AB64" i="2" s="1"/>
  <c r="AF65" i="2"/>
  <c r="AB65" i="2" s="1"/>
  <c r="AF66" i="2"/>
  <c r="AB66" i="2" s="1"/>
  <c r="AF67" i="2"/>
  <c r="AB67" i="2" s="1"/>
  <c r="AF68" i="2"/>
  <c r="AB68" i="2" s="1"/>
  <c r="AF69" i="2"/>
  <c r="AB69" i="2" s="1"/>
  <c r="AF70" i="2"/>
  <c r="AB70" i="2" s="1"/>
  <c r="AF71" i="2"/>
  <c r="AB71" i="2" s="1"/>
  <c r="AF72" i="2"/>
  <c r="AB72" i="2" s="1"/>
  <c r="AF73" i="2"/>
  <c r="AB73" i="2" s="1"/>
  <c r="AF74" i="2"/>
  <c r="AB74" i="2" s="1"/>
  <c r="AF75" i="2"/>
  <c r="AB75" i="2" s="1"/>
  <c r="AF76" i="2"/>
  <c r="AB76" i="2" s="1"/>
  <c r="AF77" i="2"/>
  <c r="AB77" i="2" s="1"/>
  <c r="AF78" i="2"/>
  <c r="AB78" i="2" s="1"/>
  <c r="AF79" i="2"/>
  <c r="AB79" i="2" s="1"/>
  <c r="AF80" i="2"/>
  <c r="AB80" i="2" s="1"/>
  <c r="AF81" i="2"/>
  <c r="AB81" i="2" s="1"/>
  <c r="AF82" i="2"/>
  <c r="AB82" i="2" s="1"/>
  <c r="AF83" i="2"/>
  <c r="AB83" i="2" s="1"/>
  <c r="AF84" i="2"/>
  <c r="AB84" i="2" s="1"/>
  <c r="AF85" i="2"/>
  <c r="AB85" i="2" s="1"/>
  <c r="AF86" i="2"/>
  <c r="AB86" i="2" s="1"/>
  <c r="AF87" i="2"/>
  <c r="AB87" i="2" s="1"/>
  <c r="AF88" i="2"/>
  <c r="AB88" i="2" s="1"/>
  <c r="AF89" i="2"/>
  <c r="AB89" i="2" s="1"/>
  <c r="AF90" i="2"/>
  <c r="AB90" i="2" s="1"/>
  <c r="AF91" i="2"/>
  <c r="AB91" i="2" s="1"/>
  <c r="AF92" i="2"/>
  <c r="AB92" i="2" s="1"/>
  <c r="AF93" i="2"/>
  <c r="AB93" i="2" s="1"/>
  <c r="AF94" i="2"/>
  <c r="AB94" i="2" s="1"/>
  <c r="AF95" i="2"/>
  <c r="AB95" i="2" s="1"/>
  <c r="AF96" i="2"/>
  <c r="AB96" i="2" s="1"/>
  <c r="AF97" i="2"/>
  <c r="AB97" i="2" s="1"/>
  <c r="AF98" i="2"/>
  <c r="AB98" i="2" s="1"/>
  <c r="AF99" i="2"/>
  <c r="AB99" i="2" s="1"/>
  <c r="AF100" i="2"/>
  <c r="AB100" i="2" s="1"/>
  <c r="AF101" i="2"/>
  <c r="AB101" i="2" s="1"/>
  <c r="AF102" i="2"/>
  <c r="AB102" i="2" s="1"/>
  <c r="AF103" i="2"/>
  <c r="AB103" i="2" s="1"/>
  <c r="AF104" i="2"/>
  <c r="AB104" i="2" s="1"/>
  <c r="AF6" i="2"/>
  <c r="AB6" i="2" s="1"/>
  <c r="AA7" i="2"/>
  <c r="AA8" i="2"/>
  <c r="AA9" i="2"/>
  <c r="AA10" i="2"/>
  <c r="AE5" i="2"/>
  <c r="AE6" i="2" s="1"/>
  <c r="AG6" i="2" s="1"/>
  <c r="A105" i="2"/>
  <c r="A5" i="3"/>
  <c r="G5" i="3"/>
  <c r="H990" i="7"/>
  <c r="G990" i="7"/>
  <c r="J995" i="7" s="1"/>
  <c r="J996" i="7" s="1"/>
  <c r="J998" i="7" s="1"/>
  <c r="J997" i="7" s="1"/>
  <c r="F990" i="7"/>
  <c r="E990" i="7"/>
  <c r="D990" i="7"/>
  <c r="I993" i="7" s="1"/>
  <c r="H980" i="7"/>
  <c r="G980" i="7"/>
  <c r="J985" i="7" s="1"/>
  <c r="J986" i="7" s="1"/>
  <c r="J988" i="7" s="1"/>
  <c r="J987" i="7" s="1"/>
  <c r="F980" i="7"/>
  <c r="E980" i="7"/>
  <c r="D980" i="7"/>
  <c r="I983" i="7" s="1"/>
  <c r="H970" i="7"/>
  <c r="G970" i="7"/>
  <c r="J975" i="7" s="1"/>
  <c r="J976" i="7" s="1"/>
  <c r="J978" i="7" s="1"/>
  <c r="J977" i="7" s="1"/>
  <c r="F970" i="7"/>
  <c r="E970" i="7"/>
  <c r="D970" i="7"/>
  <c r="I973" i="7" s="1"/>
  <c r="H960" i="7"/>
  <c r="G960" i="7"/>
  <c r="J965" i="7" s="1"/>
  <c r="J966" i="7" s="1"/>
  <c r="J968" i="7" s="1"/>
  <c r="J967" i="7" s="1"/>
  <c r="F960" i="7"/>
  <c r="E960" i="7"/>
  <c r="D960" i="7"/>
  <c r="I963" i="7" s="1"/>
  <c r="H950" i="7"/>
  <c r="G950" i="7"/>
  <c r="J955" i="7" s="1"/>
  <c r="J956" i="7" s="1"/>
  <c r="J958" i="7" s="1"/>
  <c r="J957" i="7" s="1"/>
  <c r="F950" i="7"/>
  <c r="E950" i="7"/>
  <c r="D950" i="7"/>
  <c r="I953" i="7" s="1"/>
  <c r="H940" i="7"/>
  <c r="G940" i="7"/>
  <c r="F940" i="7"/>
  <c r="E940" i="7"/>
  <c r="D940" i="7"/>
  <c r="I943" i="7" s="1"/>
  <c r="H930" i="7"/>
  <c r="G930" i="7"/>
  <c r="J935" i="7" s="1"/>
  <c r="J936" i="7" s="1"/>
  <c r="J938" i="7" s="1"/>
  <c r="J937" i="7" s="1"/>
  <c r="F930" i="7"/>
  <c r="E930" i="7"/>
  <c r="D930" i="7"/>
  <c r="I933" i="7" s="1"/>
  <c r="H920" i="7"/>
  <c r="G920" i="7"/>
  <c r="J925" i="7" s="1"/>
  <c r="J926" i="7" s="1"/>
  <c r="J928" i="7" s="1"/>
  <c r="J927" i="7" s="1"/>
  <c r="F920" i="7"/>
  <c r="E920" i="7"/>
  <c r="D920" i="7"/>
  <c r="I923" i="7" s="1"/>
  <c r="H910" i="7"/>
  <c r="G910" i="7"/>
  <c r="F910" i="7"/>
  <c r="E910" i="7"/>
  <c r="D910" i="7"/>
  <c r="I913" i="7" s="1"/>
  <c r="H900" i="7"/>
  <c r="G900" i="7"/>
  <c r="J905" i="7" s="1"/>
  <c r="J906" i="7" s="1"/>
  <c r="J908" i="7" s="1"/>
  <c r="J907" i="7" s="1"/>
  <c r="F900" i="7"/>
  <c r="E900" i="7"/>
  <c r="D900" i="7"/>
  <c r="I903" i="7" s="1"/>
  <c r="H890" i="7"/>
  <c r="G890" i="7"/>
  <c r="J895" i="7" s="1"/>
  <c r="J896" i="7" s="1"/>
  <c r="J898" i="7" s="1"/>
  <c r="J897" i="7" s="1"/>
  <c r="F890" i="7"/>
  <c r="E890" i="7"/>
  <c r="D890" i="7"/>
  <c r="I893" i="7" s="1"/>
  <c r="H880" i="7"/>
  <c r="G880" i="7"/>
  <c r="J885" i="7" s="1"/>
  <c r="J886" i="7" s="1"/>
  <c r="J888" i="7" s="1"/>
  <c r="J887" i="7" s="1"/>
  <c r="F880" i="7"/>
  <c r="E880" i="7"/>
  <c r="D880" i="7"/>
  <c r="I883" i="7" s="1"/>
  <c r="H870" i="7"/>
  <c r="G870" i="7"/>
  <c r="J875" i="7" s="1"/>
  <c r="J876" i="7" s="1"/>
  <c r="J878" i="7" s="1"/>
  <c r="J877" i="7" s="1"/>
  <c r="F870" i="7"/>
  <c r="E870" i="7"/>
  <c r="D870" i="7"/>
  <c r="I873" i="7" s="1"/>
  <c r="H860" i="7"/>
  <c r="G860" i="7"/>
  <c r="J865" i="7" s="1"/>
  <c r="J866" i="7" s="1"/>
  <c r="J868" i="7" s="1"/>
  <c r="J867" i="7" s="1"/>
  <c r="F860" i="7"/>
  <c r="E860" i="7"/>
  <c r="D860" i="7"/>
  <c r="I863" i="7" s="1"/>
  <c r="H850" i="7"/>
  <c r="G850" i="7"/>
  <c r="J855" i="7" s="1"/>
  <c r="J856" i="7" s="1"/>
  <c r="J858" i="7" s="1"/>
  <c r="J857" i="7" s="1"/>
  <c r="F850" i="7"/>
  <c r="E850" i="7"/>
  <c r="D850" i="7"/>
  <c r="I853" i="7" s="1"/>
  <c r="H840" i="7"/>
  <c r="G840" i="7"/>
  <c r="J845" i="7" s="1"/>
  <c r="J846" i="7" s="1"/>
  <c r="J848" i="7" s="1"/>
  <c r="J847" i="7" s="1"/>
  <c r="F840" i="7"/>
  <c r="E840" i="7"/>
  <c r="D840" i="7"/>
  <c r="I843" i="7" s="1"/>
  <c r="H830" i="7"/>
  <c r="G830" i="7"/>
  <c r="J835" i="7" s="1"/>
  <c r="J836" i="7" s="1"/>
  <c r="J838" i="7" s="1"/>
  <c r="J837" i="7" s="1"/>
  <c r="F830" i="7"/>
  <c r="E830" i="7"/>
  <c r="D830" i="7"/>
  <c r="I833" i="7" s="1"/>
  <c r="H820" i="7"/>
  <c r="G820" i="7"/>
  <c r="F820" i="7"/>
  <c r="E820" i="7"/>
  <c r="D820" i="7"/>
  <c r="I823" i="7" s="1"/>
  <c r="H810" i="7"/>
  <c r="G810" i="7"/>
  <c r="J815" i="7" s="1"/>
  <c r="J816" i="7" s="1"/>
  <c r="J818" i="7" s="1"/>
  <c r="J817" i="7" s="1"/>
  <c r="F810" i="7"/>
  <c r="E810" i="7"/>
  <c r="D810" i="7"/>
  <c r="I813" i="7" s="1"/>
  <c r="H800" i="7"/>
  <c r="G800" i="7"/>
  <c r="F800" i="7"/>
  <c r="E800" i="7"/>
  <c r="D800" i="7"/>
  <c r="I803" i="7" s="1"/>
  <c r="H790" i="7"/>
  <c r="G790" i="7"/>
  <c r="J795" i="7" s="1"/>
  <c r="J796" i="7" s="1"/>
  <c r="J798" i="7" s="1"/>
  <c r="J797" i="7" s="1"/>
  <c r="F790" i="7"/>
  <c r="E790" i="7"/>
  <c r="D790" i="7"/>
  <c r="I793" i="7" s="1"/>
  <c r="H780" i="7"/>
  <c r="G780" i="7"/>
  <c r="J785" i="7" s="1"/>
  <c r="J786" i="7" s="1"/>
  <c r="J788" i="7" s="1"/>
  <c r="J787" i="7" s="1"/>
  <c r="F780" i="7"/>
  <c r="E780" i="7"/>
  <c r="D780" i="7"/>
  <c r="I783" i="7" s="1"/>
  <c r="H770" i="7"/>
  <c r="G770" i="7"/>
  <c r="J775" i="7" s="1"/>
  <c r="J776" i="7" s="1"/>
  <c r="J778" i="7" s="1"/>
  <c r="J777" i="7" s="1"/>
  <c r="F770" i="7"/>
  <c r="E770" i="7"/>
  <c r="D770" i="7"/>
  <c r="I773" i="7" s="1"/>
  <c r="H760" i="7"/>
  <c r="G760" i="7"/>
  <c r="J765" i="7" s="1"/>
  <c r="J766" i="7" s="1"/>
  <c r="J768" i="7" s="1"/>
  <c r="J767" i="7" s="1"/>
  <c r="F760" i="7"/>
  <c r="E760" i="7"/>
  <c r="D760" i="7"/>
  <c r="I763" i="7" s="1"/>
  <c r="H750" i="7"/>
  <c r="G750" i="7"/>
  <c r="J755" i="7" s="1"/>
  <c r="J756" i="7" s="1"/>
  <c r="J758" i="7" s="1"/>
  <c r="J757" i="7" s="1"/>
  <c r="F750" i="7"/>
  <c r="E750" i="7"/>
  <c r="D750" i="7"/>
  <c r="I753" i="7" s="1"/>
  <c r="H740" i="7"/>
  <c r="G740" i="7"/>
  <c r="J745" i="7" s="1"/>
  <c r="J746" i="7" s="1"/>
  <c r="J748" i="7" s="1"/>
  <c r="J747" i="7" s="1"/>
  <c r="F740" i="7"/>
  <c r="E740" i="7"/>
  <c r="D740" i="7"/>
  <c r="I743" i="7" s="1"/>
  <c r="H730" i="7"/>
  <c r="G730" i="7"/>
  <c r="J735" i="7" s="1"/>
  <c r="J736" i="7" s="1"/>
  <c r="J738" i="7" s="1"/>
  <c r="J737" i="7" s="1"/>
  <c r="F730" i="7"/>
  <c r="E730" i="7"/>
  <c r="D730" i="7"/>
  <c r="I733" i="7" s="1"/>
  <c r="H720" i="7"/>
  <c r="G720" i="7"/>
  <c r="F720" i="7"/>
  <c r="E720" i="7"/>
  <c r="D720" i="7"/>
  <c r="I723" i="7" s="1"/>
  <c r="H710" i="7"/>
  <c r="G710" i="7"/>
  <c r="J715" i="7" s="1"/>
  <c r="J716" i="7" s="1"/>
  <c r="J718" i="7" s="1"/>
  <c r="J717" i="7" s="1"/>
  <c r="F710" i="7"/>
  <c r="E710" i="7"/>
  <c r="D710" i="7"/>
  <c r="I713" i="7" s="1"/>
  <c r="H700" i="7"/>
  <c r="G700" i="7"/>
  <c r="J705" i="7" s="1"/>
  <c r="J706" i="7" s="1"/>
  <c r="J708" i="7" s="1"/>
  <c r="J707" i="7" s="1"/>
  <c r="F700" i="7"/>
  <c r="E700" i="7"/>
  <c r="D700" i="7"/>
  <c r="I703" i="7" s="1"/>
  <c r="H690" i="7"/>
  <c r="G690" i="7"/>
  <c r="J695" i="7" s="1"/>
  <c r="J696" i="7" s="1"/>
  <c r="J698" i="7" s="1"/>
  <c r="J697" i="7" s="1"/>
  <c r="F690" i="7"/>
  <c r="E690" i="7"/>
  <c r="D690" i="7"/>
  <c r="I693" i="7" s="1"/>
  <c r="H680" i="7"/>
  <c r="G680" i="7"/>
  <c r="J685" i="7" s="1"/>
  <c r="J686" i="7" s="1"/>
  <c r="J688" i="7" s="1"/>
  <c r="J687" i="7" s="1"/>
  <c r="F680" i="7"/>
  <c r="E680" i="7"/>
  <c r="D680" i="7"/>
  <c r="I683" i="7" s="1"/>
  <c r="H670" i="7"/>
  <c r="G670" i="7"/>
  <c r="F670" i="7"/>
  <c r="E670" i="7"/>
  <c r="D670" i="7"/>
  <c r="I673" i="7" s="1"/>
  <c r="H660" i="7"/>
  <c r="G660" i="7"/>
  <c r="J665" i="7" s="1"/>
  <c r="J666" i="7" s="1"/>
  <c r="J668" i="7" s="1"/>
  <c r="J667" i="7" s="1"/>
  <c r="F660" i="7"/>
  <c r="E660" i="7"/>
  <c r="D660" i="7"/>
  <c r="I663" i="7" s="1"/>
  <c r="H650" i="7"/>
  <c r="G650" i="7"/>
  <c r="F650" i="7"/>
  <c r="E650" i="7"/>
  <c r="D650" i="7"/>
  <c r="I653" i="7" s="1"/>
  <c r="H640" i="7"/>
  <c r="G640" i="7"/>
  <c r="J645" i="7" s="1"/>
  <c r="J646" i="7" s="1"/>
  <c r="J648" i="7" s="1"/>
  <c r="J647" i="7" s="1"/>
  <c r="F640" i="7"/>
  <c r="E640" i="7"/>
  <c r="D640" i="7"/>
  <c r="I643" i="7" s="1"/>
  <c r="H630" i="7"/>
  <c r="G630" i="7"/>
  <c r="J635" i="7" s="1"/>
  <c r="J636" i="7" s="1"/>
  <c r="J638" i="7" s="1"/>
  <c r="J637" i="7" s="1"/>
  <c r="F630" i="7"/>
  <c r="E630" i="7"/>
  <c r="D630" i="7"/>
  <c r="I633" i="7" s="1"/>
  <c r="H620" i="7"/>
  <c r="G620" i="7"/>
  <c r="F620" i="7"/>
  <c r="E620" i="7"/>
  <c r="D620" i="7"/>
  <c r="I623" i="7" s="1"/>
  <c r="H610" i="7"/>
  <c r="G610" i="7"/>
  <c r="J615" i="7" s="1"/>
  <c r="J616" i="7" s="1"/>
  <c r="J618" i="7" s="1"/>
  <c r="J617" i="7" s="1"/>
  <c r="F610" i="7"/>
  <c r="E610" i="7"/>
  <c r="D610" i="7"/>
  <c r="I613" i="7" s="1"/>
  <c r="H600" i="7"/>
  <c r="G600" i="7"/>
  <c r="J605" i="7" s="1"/>
  <c r="J606" i="7" s="1"/>
  <c r="J608" i="7" s="1"/>
  <c r="J607" i="7" s="1"/>
  <c r="F600" i="7"/>
  <c r="E600" i="7"/>
  <c r="D600" i="7"/>
  <c r="I603" i="7" s="1"/>
  <c r="H590" i="7"/>
  <c r="G590" i="7"/>
  <c r="F590" i="7"/>
  <c r="E590" i="7"/>
  <c r="D590" i="7"/>
  <c r="I593" i="7" s="1"/>
  <c r="H580" i="7"/>
  <c r="G580" i="7"/>
  <c r="J585" i="7" s="1"/>
  <c r="J586" i="7" s="1"/>
  <c r="J588" i="7" s="1"/>
  <c r="J587" i="7" s="1"/>
  <c r="F580" i="7"/>
  <c r="E580" i="7"/>
  <c r="D580" i="7"/>
  <c r="I583" i="7" s="1"/>
  <c r="H570" i="7"/>
  <c r="G570" i="7"/>
  <c r="J575" i="7" s="1"/>
  <c r="J576" i="7" s="1"/>
  <c r="J578" i="7" s="1"/>
  <c r="J577" i="7" s="1"/>
  <c r="F570" i="7"/>
  <c r="E570" i="7"/>
  <c r="D570" i="7"/>
  <c r="I573" i="7" s="1"/>
  <c r="H560" i="7"/>
  <c r="G560" i="7"/>
  <c r="J565" i="7" s="1"/>
  <c r="J566" i="7" s="1"/>
  <c r="J568" i="7" s="1"/>
  <c r="J567" i="7" s="1"/>
  <c r="F560" i="7"/>
  <c r="E560" i="7"/>
  <c r="D560" i="7"/>
  <c r="I563" i="7" s="1"/>
  <c r="H550" i="7"/>
  <c r="G550" i="7"/>
  <c r="J555" i="7" s="1"/>
  <c r="J556" i="7" s="1"/>
  <c r="J558" i="7" s="1"/>
  <c r="J557" i="7" s="1"/>
  <c r="F550" i="7"/>
  <c r="E550" i="7"/>
  <c r="D550" i="7"/>
  <c r="I553" i="7" s="1"/>
  <c r="H540" i="7"/>
  <c r="G540" i="7"/>
  <c r="F540" i="7"/>
  <c r="E540" i="7"/>
  <c r="D540" i="7"/>
  <c r="I543" i="7" s="1"/>
  <c r="H530" i="7"/>
  <c r="G530" i="7"/>
  <c r="J535" i="7" s="1"/>
  <c r="J536" i="7" s="1"/>
  <c r="J538" i="7" s="1"/>
  <c r="J537" i="7" s="1"/>
  <c r="F530" i="7"/>
  <c r="E530" i="7"/>
  <c r="D530" i="7"/>
  <c r="I533" i="7" s="1"/>
  <c r="H520" i="7"/>
  <c r="G520" i="7"/>
  <c r="J525" i="7" s="1"/>
  <c r="J526" i="7" s="1"/>
  <c r="J528" i="7" s="1"/>
  <c r="J527" i="7" s="1"/>
  <c r="F520" i="7"/>
  <c r="E520" i="7"/>
  <c r="D520" i="7"/>
  <c r="I523" i="7" s="1"/>
  <c r="H510" i="7"/>
  <c r="G510" i="7"/>
  <c r="J515" i="7" s="1"/>
  <c r="J516" i="7" s="1"/>
  <c r="J518" i="7" s="1"/>
  <c r="J517" i="7" s="1"/>
  <c r="F510" i="7"/>
  <c r="E510" i="7"/>
  <c r="D510" i="7"/>
  <c r="I513" i="7" s="1"/>
  <c r="H500" i="7"/>
  <c r="G500" i="7"/>
  <c r="J505" i="7" s="1"/>
  <c r="J506" i="7" s="1"/>
  <c r="J508" i="7" s="1"/>
  <c r="J507" i="7" s="1"/>
  <c r="F500" i="7"/>
  <c r="E500" i="7"/>
  <c r="D500" i="7"/>
  <c r="I503" i="7" s="1"/>
  <c r="H490" i="7"/>
  <c r="G490" i="7"/>
  <c r="J495" i="7" s="1"/>
  <c r="J496" i="7" s="1"/>
  <c r="J498" i="7" s="1"/>
  <c r="J497" i="7" s="1"/>
  <c r="F490" i="7"/>
  <c r="E490" i="7"/>
  <c r="D490" i="7"/>
  <c r="I493" i="7" s="1"/>
  <c r="H480" i="7"/>
  <c r="G480" i="7"/>
  <c r="J485" i="7" s="1"/>
  <c r="J486" i="7" s="1"/>
  <c r="J488" i="7" s="1"/>
  <c r="J487" i="7" s="1"/>
  <c r="F480" i="7"/>
  <c r="E480" i="7"/>
  <c r="D480" i="7"/>
  <c r="I483" i="7" s="1"/>
  <c r="H470" i="7"/>
  <c r="G470" i="7"/>
  <c r="J475" i="7" s="1"/>
  <c r="J476" i="7" s="1"/>
  <c r="J478" i="7" s="1"/>
  <c r="J477" i="7" s="1"/>
  <c r="F470" i="7"/>
  <c r="E470" i="7"/>
  <c r="D470" i="7"/>
  <c r="I473" i="7" s="1"/>
  <c r="H460" i="7"/>
  <c r="G460" i="7"/>
  <c r="F460" i="7"/>
  <c r="E460" i="7"/>
  <c r="D460" i="7"/>
  <c r="I463" i="7" s="1"/>
  <c r="H450" i="7"/>
  <c r="G450" i="7"/>
  <c r="J455" i="7" s="1"/>
  <c r="J456" i="7" s="1"/>
  <c r="J458" i="7" s="1"/>
  <c r="J457" i="7" s="1"/>
  <c r="F450" i="7"/>
  <c r="E450" i="7"/>
  <c r="D450" i="7"/>
  <c r="I453" i="7" s="1"/>
  <c r="H440" i="7"/>
  <c r="G440" i="7"/>
  <c r="F440" i="7"/>
  <c r="E440" i="7"/>
  <c r="D440" i="7"/>
  <c r="I443" i="7" s="1"/>
  <c r="H430" i="7"/>
  <c r="G430" i="7"/>
  <c r="F430" i="7"/>
  <c r="E430" i="7"/>
  <c r="D430" i="7"/>
  <c r="I433" i="7" s="1"/>
  <c r="H420" i="7"/>
  <c r="G420" i="7"/>
  <c r="J425" i="7" s="1"/>
  <c r="J426" i="7" s="1"/>
  <c r="J428" i="7" s="1"/>
  <c r="J427" i="7" s="1"/>
  <c r="F420" i="7"/>
  <c r="E420" i="7"/>
  <c r="D420" i="7"/>
  <c r="I423" i="7" s="1"/>
  <c r="H410" i="7"/>
  <c r="G410" i="7"/>
  <c r="J415" i="7" s="1"/>
  <c r="J416" i="7" s="1"/>
  <c r="J418" i="7" s="1"/>
  <c r="J417" i="7" s="1"/>
  <c r="F410" i="7"/>
  <c r="E410" i="7"/>
  <c r="D410" i="7"/>
  <c r="I413" i="7" s="1"/>
  <c r="H400" i="7"/>
  <c r="G400" i="7"/>
  <c r="J405" i="7" s="1"/>
  <c r="J406" i="7" s="1"/>
  <c r="J408" i="7" s="1"/>
  <c r="J407" i="7" s="1"/>
  <c r="F400" i="7"/>
  <c r="E400" i="7"/>
  <c r="D400" i="7"/>
  <c r="I403" i="7" s="1"/>
  <c r="H390" i="7"/>
  <c r="G390" i="7"/>
  <c r="J395" i="7" s="1"/>
  <c r="J396" i="7" s="1"/>
  <c r="J398" i="7" s="1"/>
  <c r="J397" i="7" s="1"/>
  <c r="F390" i="7"/>
  <c r="E390" i="7"/>
  <c r="D390" i="7"/>
  <c r="I393" i="7" s="1"/>
  <c r="H380" i="7"/>
  <c r="G380" i="7"/>
  <c r="J385" i="7" s="1"/>
  <c r="J386" i="7" s="1"/>
  <c r="J388" i="7" s="1"/>
  <c r="J387" i="7" s="1"/>
  <c r="F380" i="7"/>
  <c r="E380" i="7"/>
  <c r="D380" i="7"/>
  <c r="I383" i="7" s="1"/>
  <c r="H370" i="7"/>
  <c r="G370" i="7"/>
  <c r="J375" i="7" s="1"/>
  <c r="J376" i="7" s="1"/>
  <c r="J378" i="7" s="1"/>
  <c r="J377" i="7" s="1"/>
  <c r="F370" i="7"/>
  <c r="E370" i="7"/>
  <c r="D370" i="7"/>
  <c r="I373" i="7" s="1"/>
  <c r="H360" i="7"/>
  <c r="G360" i="7"/>
  <c r="J365" i="7" s="1"/>
  <c r="J366" i="7" s="1"/>
  <c r="J368" i="7" s="1"/>
  <c r="J367" i="7" s="1"/>
  <c r="F360" i="7"/>
  <c r="E360" i="7"/>
  <c r="D360" i="7"/>
  <c r="I363" i="7" s="1"/>
  <c r="H350" i="7"/>
  <c r="G350" i="7"/>
  <c r="F350" i="7"/>
  <c r="E350" i="7"/>
  <c r="D350" i="7"/>
  <c r="I353" i="7" s="1"/>
  <c r="H340" i="7"/>
  <c r="G340" i="7"/>
  <c r="F340" i="7"/>
  <c r="E340" i="7"/>
  <c r="D340" i="7"/>
  <c r="I343" i="7" s="1"/>
  <c r="H330" i="7"/>
  <c r="G330" i="7"/>
  <c r="J335" i="7" s="1"/>
  <c r="J336" i="7" s="1"/>
  <c r="J338" i="7" s="1"/>
  <c r="J337" i="7" s="1"/>
  <c r="F330" i="7"/>
  <c r="E330" i="7"/>
  <c r="D330" i="7"/>
  <c r="I333" i="7" s="1"/>
  <c r="H320" i="7"/>
  <c r="G320" i="7"/>
  <c r="J325" i="7" s="1"/>
  <c r="J326" i="7" s="1"/>
  <c r="J328" i="7" s="1"/>
  <c r="J327" i="7" s="1"/>
  <c r="F320" i="7"/>
  <c r="E320" i="7"/>
  <c r="D320" i="7"/>
  <c r="I323" i="7" s="1"/>
  <c r="H310" i="7"/>
  <c r="G310" i="7"/>
  <c r="J315" i="7" s="1"/>
  <c r="J316" i="7" s="1"/>
  <c r="J318" i="7" s="1"/>
  <c r="J317" i="7" s="1"/>
  <c r="F310" i="7"/>
  <c r="E310" i="7"/>
  <c r="D310" i="7"/>
  <c r="I313" i="7" s="1"/>
  <c r="H300" i="7"/>
  <c r="G300" i="7"/>
  <c r="F300" i="7"/>
  <c r="E300" i="7"/>
  <c r="D300" i="7"/>
  <c r="I303" i="7" s="1"/>
  <c r="H290" i="7"/>
  <c r="G290" i="7"/>
  <c r="F290" i="7"/>
  <c r="E290" i="7"/>
  <c r="D290" i="7"/>
  <c r="I293" i="7" s="1"/>
  <c r="H280" i="7"/>
  <c r="G280" i="7"/>
  <c r="F280" i="7"/>
  <c r="E280" i="7"/>
  <c r="D280" i="7"/>
  <c r="I283" i="7" s="1"/>
  <c r="H270" i="7"/>
  <c r="G270" i="7"/>
  <c r="J275" i="7" s="1"/>
  <c r="J276" i="7" s="1"/>
  <c r="J278" i="7" s="1"/>
  <c r="J277" i="7" s="1"/>
  <c r="F270" i="7"/>
  <c r="E270" i="7"/>
  <c r="D270" i="7"/>
  <c r="I273" i="7" s="1"/>
  <c r="H260" i="7"/>
  <c r="G260" i="7"/>
  <c r="J265" i="7" s="1"/>
  <c r="J266" i="7" s="1"/>
  <c r="J268" i="7" s="1"/>
  <c r="J267" i="7" s="1"/>
  <c r="F260" i="7"/>
  <c r="E260" i="7"/>
  <c r="D260" i="7"/>
  <c r="I263" i="7" s="1"/>
  <c r="H250" i="7"/>
  <c r="G250" i="7"/>
  <c r="J255" i="7" s="1"/>
  <c r="J256" i="7" s="1"/>
  <c r="J258" i="7" s="1"/>
  <c r="J257" i="7" s="1"/>
  <c r="F250" i="7"/>
  <c r="E250" i="7"/>
  <c r="D250" i="7"/>
  <c r="I253" i="7" s="1"/>
  <c r="H240" i="7"/>
  <c r="G240" i="7"/>
  <c r="F240" i="7"/>
  <c r="E240" i="7"/>
  <c r="D240" i="7"/>
  <c r="I243" i="7" s="1"/>
  <c r="H230" i="7"/>
  <c r="G230" i="7"/>
  <c r="J235" i="7" s="1"/>
  <c r="J236" i="7" s="1"/>
  <c r="J238" i="7" s="1"/>
  <c r="J237" i="7" s="1"/>
  <c r="F230" i="7"/>
  <c r="E230" i="7"/>
  <c r="D230" i="7"/>
  <c r="I233" i="7" s="1"/>
  <c r="H220" i="7"/>
  <c r="G220" i="7"/>
  <c r="J225" i="7" s="1"/>
  <c r="J226" i="7" s="1"/>
  <c r="J228" i="7" s="1"/>
  <c r="J227" i="7" s="1"/>
  <c r="F220" i="7"/>
  <c r="E220" i="7"/>
  <c r="D220" i="7"/>
  <c r="I223" i="7" s="1"/>
  <c r="H210" i="7"/>
  <c r="G210" i="7"/>
  <c r="J215" i="7" s="1"/>
  <c r="J216" i="7" s="1"/>
  <c r="J218" i="7" s="1"/>
  <c r="J217" i="7" s="1"/>
  <c r="F210" i="7"/>
  <c r="E210" i="7"/>
  <c r="D210" i="7"/>
  <c r="I213" i="7" s="1"/>
  <c r="H200" i="7"/>
  <c r="G200" i="7"/>
  <c r="J205" i="7" s="1"/>
  <c r="J206" i="7" s="1"/>
  <c r="J208" i="7" s="1"/>
  <c r="J207" i="7" s="1"/>
  <c r="F200" i="7"/>
  <c r="E200" i="7"/>
  <c r="D200" i="7"/>
  <c r="I203" i="7" s="1"/>
  <c r="H190" i="7"/>
  <c r="G190" i="7"/>
  <c r="F190" i="7"/>
  <c r="E190" i="7"/>
  <c r="D190" i="7"/>
  <c r="I193" i="7" s="1"/>
  <c r="H180" i="7"/>
  <c r="G180" i="7"/>
  <c r="J185" i="7" s="1"/>
  <c r="J186" i="7" s="1"/>
  <c r="J188" i="7" s="1"/>
  <c r="J187" i="7" s="1"/>
  <c r="F180" i="7"/>
  <c r="E180" i="7"/>
  <c r="D180" i="7"/>
  <c r="I183" i="7" s="1"/>
  <c r="H170" i="7"/>
  <c r="G170" i="7"/>
  <c r="J175" i="7" s="1"/>
  <c r="J176" i="7" s="1"/>
  <c r="J178" i="7" s="1"/>
  <c r="J177" i="7" s="1"/>
  <c r="F170" i="7"/>
  <c r="E170" i="7"/>
  <c r="D170" i="7"/>
  <c r="I173" i="7" s="1"/>
  <c r="H160" i="7"/>
  <c r="G160" i="7"/>
  <c r="J165" i="7" s="1"/>
  <c r="J166" i="7" s="1"/>
  <c r="J168" i="7" s="1"/>
  <c r="J167" i="7" s="1"/>
  <c r="F160" i="7"/>
  <c r="E160" i="7"/>
  <c r="D160" i="7"/>
  <c r="I163" i="7" s="1"/>
  <c r="H130" i="7"/>
  <c r="G130" i="7"/>
  <c r="J135" i="7" s="1"/>
  <c r="J136" i="7" s="1"/>
  <c r="J138" i="7" s="1"/>
  <c r="J137" i="7" s="1"/>
  <c r="F130" i="7"/>
  <c r="E130" i="7"/>
  <c r="D130" i="7"/>
  <c r="I133" i="7" s="1"/>
  <c r="H120" i="7"/>
  <c r="G120" i="7"/>
  <c r="J125" i="7" s="1"/>
  <c r="J126" i="7" s="1"/>
  <c r="J128" i="7" s="1"/>
  <c r="J127" i="7" s="1"/>
  <c r="F120" i="7"/>
  <c r="E120" i="7"/>
  <c r="D120" i="7"/>
  <c r="I123" i="7" s="1"/>
  <c r="H110" i="7"/>
  <c r="G110" i="7"/>
  <c r="J115" i="7" s="1"/>
  <c r="J116" i="7" s="1"/>
  <c r="J118" i="7" s="1"/>
  <c r="J117" i="7" s="1"/>
  <c r="F110" i="7"/>
  <c r="E110" i="7"/>
  <c r="D110" i="7"/>
  <c r="I113" i="7" s="1"/>
  <c r="H100" i="7"/>
  <c r="G100" i="7"/>
  <c r="J105" i="7" s="1"/>
  <c r="J106" i="7" s="1"/>
  <c r="J108" i="7" s="1"/>
  <c r="J107" i="7" s="1"/>
  <c r="F100" i="7"/>
  <c r="E100" i="7"/>
  <c r="D100" i="7"/>
  <c r="I103" i="7" s="1"/>
  <c r="H90" i="7"/>
  <c r="G90" i="7"/>
  <c r="J95" i="7" s="1"/>
  <c r="J96" i="7" s="1"/>
  <c r="J98" i="7" s="1"/>
  <c r="J97" i="7" s="1"/>
  <c r="F90" i="7"/>
  <c r="E90" i="7"/>
  <c r="D90" i="7"/>
  <c r="I93" i="7" s="1"/>
  <c r="H80" i="7"/>
  <c r="G80" i="7"/>
  <c r="J85" i="7" s="1"/>
  <c r="J86" i="7" s="1"/>
  <c r="J88" i="7" s="1"/>
  <c r="J87" i="7" s="1"/>
  <c r="F80" i="7"/>
  <c r="E80" i="7"/>
  <c r="D80" i="7"/>
  <c r="I83" i="7" s="1"/>
  <c r="H70" i="7"/>
  <c r="G70" i="7"/>
  <c r="J75" i="7" s="1"/>
  <c r="J76" i="7" s="1"/>
  <c r="J78" i="7" s="1"/>
  <c r="J77" i="7" s="1"/>
  <c r="F70" i="7"/>
  <c r="E70" i="7"/>
  <c r="D70" i="7"/>
  <c r="I73" i="7" s="1"/>
  <c r="H60" i="7"/>
  <c r="G60" i="7"/>
  <c r="J65" i="7" s="1"/>
  <c r="J66" i="7" s="1"/>
  <c r="J68" i="7" s="1"/>
  <c r="J67" i="7" s="1"/>
  <c r="F60" i="7"/>
  <c r="E60" i="7"/>
  <c r="D60" i="7"/>
  <c r="I63" i="7" s="1"/>
  <c r="H50" i="7"/>
  <c r="G50" i="7"/>
  <c r="F50" i="7"/>
  <c r="E50" i="7"/>
  <c r="D50" i="7"/>
  <c r="I53" i="7" s="1"/>
  <c r="H40" i="7"/>
  <c r="G40" i="7"/>
  <c r="F40" i="7"/>
  <c r="E40" i="7"/>
  <c r="D40" i="7"/>
  <c r="I43" i="7" s="1"/>
  <c r="H30" i="7"/>
  <c r="G30" i="7"/>
  <c r="F30" i="7"/>
  <c r="E30" i="7"/>
  <c r="D30" i="7"/>
  <c r="I33" i="7" s="1"/>
  <c r="H20" i="7"/>
  <c r="G20" i="7"/>
  <c r="J25" i="7" s="1"/>
  <c r="J26" i="7" s="1"/>
  <c r="J28" i="7" s="1"/>
  <c r="J27" i="7" s="1"/>
  <c r="F20" i="7"/>
  <c r="E20" i="7"/>
  <c r="D20" i="7"/>
  <c r="I23" i="7" s="1"/>
  <c r="I4" i="7"/>
  <c r="F4" i="7"/>
  <c r="E4" i="7"/>
  <c r="D4" i="7"/>
  <c r="R17" i="10" l="1"/>
  <c r="Q17" i="10"/>
  <c r="S17" i="10"/>
  <c r="L17" i="10" s="1"/>
  <c r="P17" i="10" s="1"/>
  <c r="J18" i="10"/>
  <c r="S19" i="10"/>
  <c r="R19" i="10"/>
  <c r="Q19" i="10"/>
  <c r="G25" i="10"/>
  <c r="J16" i="10"/>
  <c r="S15" i="10"/>
  <c r="R15" i="10"/>
  <c r="Q15" i="10"/>
  <c r="A8" i="4"/>
  <c r="A148" i="4"/>
  <c r="Y49" i="4" s="1" a="1"/>
  <c r="X147" i="4" s="1"/>
  <c r="AA97" i="4" s="1"/>
  <c r="A144" i="10"/>
  <c r="Y45" i="10" s="1" a="1"/>
  <c r="A2" i="10"/>
  <c r="L369" i="7"/>
  <c r="K371" i="7" s="1"/>
  <c r="M372" i="7" s="1"/>
  <c r="L499" i="7"/>
  <c r="K501" i="7" s="1"/>
  <c r="M502" i="7" s="1"/>
  <c r="AE7" i="2"/>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AE28" i="2" s="1"/>
  <c r="AE29" i="2" s="1"/>
  <c r="AE30" i="2" s="1"/>
  <c r="AE31" i="2" s="1"/>
  <c r="AE32" i="2" s="1"/>
  <c r="AE33" i="2" s="1"/>
  <c r="AE34" i="2" s="1"/>
  <c r="AE35" i="2" s="1"/>
  <c r="AE36" i="2" s="1"/>
  <c r="AE37" i="2" s="1"/>
  <c r="AE38" i="2" s="1"/>
  <c r="AE39" i="2" s="1"/>
  <c r="AE40" i="2" s="1"/>
  <c r="AE41" i="2" s="1"/>
  <c r="AE42" i="2" s="1"/>
  <c r="AE43" i="2" s="1"/>
  <c r="AE44" i="2" s="1"/>
  <c r="AE45" i="2" s="1"/>
  <c r="AE46" i="2" s="1"/>
  <c r="AE47" i="2" s="1"/>
  <c r="AE48" i="2" s="1"/>
  <c r="AE49" i="2" s="1"/>
  <c r="AE50" i="2" s="1"/>
  <c r="AE51" i="2" s="1"/>
  <c r="AE52" i="2" s="1"/>
  <c r="AE53" i="2" s="1"/>
  <c r="AE54" i="2" s="1"/>
  <c r="AE55" i="2" s="1"/>
  <c r="AE56" i="2" s="1"/>
  <c r="AE57" i="2" s="1"/>
  <c r="AE58" i="2" s="1"/>
  <c r="AE59" i="2" s="1"/>
  <c r="AE60" i="2" s="1"/>
  <c r="AE61" i="2" s="1"/>
  <c r="AE62" i="2" s="1"/>
  <c r="AE63" i="2" s="1"/>
  <c r="AE64" i="2" s="1"/>
  <c r="AE65" i="2" s="1"/>
  <c r="AE66" i="2" s="1"/>
  <c r="AE67" i="2" s="1"/>
  <c r="AE68" i="2" s="1"/>
  <c r="AE69" i="2" s="1"/>
  <c r="AE70" i="2" s="1"/>
  <c r="AE71" i="2" s="1"/>
  <c r="AE72" i="2" s="1"/>
  <c r="AE73" i="2" s="1"/>
  <c r="AE74" i="2" s="1"/>
  <c r="AE75" i="2" s="1"/>
  <c r="AE76" i="2" s="1"/>
  <c r="AE77" i="2" s="1"/>
  <c r="AE78" i="2" s="1"/>
  <c r="AE79" i="2" s="1"/>
  <c r="AE80" i="2" s="1"/>
  <c r="AE81" i="2" s="1"/>
  <c r="AE82" i="2" s="1"/>
  <c r="AE83" i="2" s="1"/>
  <c r="AE84" i="2" s="1"/>
  <c r="AE85" i="2" s="1"/>
  <c r="AE86" i="2" s="1"/>
  <c r="AE87" i="2" s="1"/>
  <c r="AE88" i="2" s="1"/>
  <c r="AE89" i="2" s="1"/>
  <c r="AE90" i="2" s="1"/>
  <c r="AE91" i="2" s="1"/>
  <c r="AE92" i="2" s="1"/>
  <c r="AE93" i="2" s="1"/>
  <c r="AE94" i="2" s="1"/>
  <c r="AE95" i="2" s="1"/>
  <c r="AE96" i="2" s="1"/>
  <c r="AE97" i="2" s="1"/>
  <c r="AE98" i="2" s="1"/>
  <c r="AE99" i="2" s="1"/>
  <c r="AE100" i="2" s="1"/>
  <c r="AE101" i="2" s="1"/>
  <c r="AE102" i="2" s="1"/>
  <c r="AE103" i="2" s="1"/>
  <c r="AE104" i="2" s="1"/>
  <c r="L9" i="7"/>
  <c r="K11" i="7" s="1"/>
  <c r="M12" i="7" s="1"/>
  <c r="J725" i="7"/>
  <c r="J726" i="7" s="1"/>
  <c r="J728" i="7" s="1"/>
  <c r="J727" i="7" s="1"/>
  <c r="I725" i="7" s="1"/>
  <c r="J805" i="7"/>
  <c r="J806" i="7" s="1"/>
  <c r="J808" i="7" s="1"/>
  <c r="J807" i="7" s="1"/>
  <c r="J655" i="7"/>
  <c r="J656" i="7" s="1"/>
  <c r="J658" i="7" s="1"/>
  <c r="J657" i="7" s="1"/>
  <c r="J825" i="7"/>
  <c r="J826" i="7" s="1"/>
  <c r="J828" i="7" s="1"/>
  <c r="J827" i="7" s="1"/>
  <c r="J625" i="7"/>
  <c r="J626" i="7" s="1"/>
  <c r="J628" i="7" s="1"/>
  <c r="J627" i="7" s="1"/>
  <c r="I625" i="7" s="1"/>
  <c r="J945" i="7"/>
  <c r="J946" i="7" s="1"/>
  <c r="J948" i="7" s="1"/>
  <c r="J947" i="7" s="1"/>
  <c r="I945" i="7" s="1"/>
  <c r="J675" i="7"/>
  <c r="J676" i="7" s="1"/>
  <c r="J678" i="7" s="1"/>
  <c r="J677" i="7" s="1"/>
  <c r="J915" i="7"/>
  <c r="J916" i="7" s="1"/>
  <c r="J918" i="7" s="1"/>
  <c r="J917" i="7" s="1"/>
  <c r="L849" i="7"/>
  <c r="K851" i="7" s="1"/>
  <c r="M852" i="7" s="1"/>
  <c r="L689" i="7"/>
  <c r="K691" i="7" s="1"/>
  <c r="M692" i="7" s="1"/>
  <c r="L529" i="7"/>
  <c r="K531" i="7" s="1"/>
  <c r="M532" i="7" s="1"/>
  <c r="L209" i="7"/>
  <c r="K211" i="7" s="1"/>
  <c r="M212" i="7" s="1"/>
  <c r="L809" i="7"/>
  <c r="K811" i="7" s="1"/>
  <c r="M812" i="7" s="1"/>
  <c r="L649" i="7"/>
  <c r="K651" i="7" s="1"/>
  <c r="M652" i="7" s="1"/>
  <c r="L489" i="7"/>
  <c r="K491" i="7" s="1"/>
  <c r="M492" i="7" s="1"/>
  <c r="L329" i="7"/>
  <c r="K331" i="7" s="1"/>
  <c r="M332" i="7" s="1"/>
  <c r="L899" i="7"/>
  <c r="K901" i="7" s="1"/>
  <c r="M902" i="7" s="1"/>
  <c r="L839" i="7"/>
  <c r="K841" i="7" s="1"/>
  <c r="M842" i="7" s="1"/>
  <c r="L769" i="7"/>
  <c r="K771" i="7" s="1"/>
  <c r="M772" i="7" s="1"/>
  <c r="L639" i="7"/>
  <c r="K641" i="7" s="1"/>
  <c r="M642" i="7" s="1"/>
  <c r="L559" i="7"/>
  <c r="K561" i="7" s="1"/>
  <c r="M562" i="7" s="1"/>
  <c r="L429" i="7"/>
  <c r="K431" i="7" s="1"/>
  <c r="M432" i="7" s="1"/>
  <c r="L299" i="7"/>
  <c r="K301" i="7" s="1"/>
  <c r="M302" i="7" s="1"/>
  <c r="L219" i="7"/>
  <c r="K221" i="7" s="1"/>
  <c r="M222" i="7" s="1"/>
  <c r="L149" i="7"/>
  <c r="K151" i="7" s="1"/>
  <c r="M152" i="7" s="1"/>
  <c r="L69" i="7"/>
  <c r="K71" i="7" s="1"/>
  <c r="M72" i="7" s="1"/>
  <c r="L959" i="7"/>
  <c r="K961" i="7" s="1"/>
  <c r="M962" i="7" s="1"/>
  <c r="L879" i="7"/>
  <c r="K881" i="7" s="1"/>
  <c r="M882" i="7" s="1"/>
  <c r="L819" i="7"/>
  <c r="K821" i="7" s="1"/>
  <c r="M822" i="7" s="1"/>
  <c r="L749" i="7"/>
  <c r="K751" i="7" s="1"/>
  <c r="M752" i="7" s="1"/>
  <c r="L619" i="7"/>
  <c r="K621" i="7" s="1"/>
  <c r="M622" i="7" s="1"/>
  <c r="L539" i="7"/>
  <c r="K541" i="7" s="1"/>
  <c r="M542" i="7" s="1"/>
  <c r="L409" i="7"/>
  <c r="K411" i="7" s="1"/>
  <c r="M412" i="7" s="1"/>
  <c r="L349" i="7"/>
  <c r="K351" i="7" s="1"/>
  <c r="M352" i="7" s="1"/>
  <c r="L279" i="7"/>
  <c r="K281" i="7" s="1"/>
  <c r="M282" i="7" s="1"/>
  <c r="L129" i="7"/>
  <c r="K131" i="7" s="1"/>
  <c r="M132" i="7" s="1"/>
  <c r="L49" i="7"/>
  <c r="K51" i="7" s="1"/>
  <c r="M52" i="7" s="1"/>
  <c r="L949" i="7"/>
  <c r="K951" i="7" s="1"/>
  <c r="M952" i="7" s="1"/>
  <c r="L609" i="7"/>
  <c r="K611" i="7" s="1"/>
  <c r="M612" i="7" s="1"/>
  <c r="L479" i="7"/>
  <c r="K481" i="7" s="1"/>
  <c r="M482" i="7" s="1"/>
  <c r="L399" i="7"/>
  <c r="K401" i="7" s="1"/>
  <c r="M402" i="7" s="1"/>
  <c r="L339" i="7"/>
  <c r="K341" i="7" s="1"/>
  <c r="M342" i="7" s="1"/>
  <c r="L269" i="7"/>
  <c r="K271" i="7" s="1"/>
  <c r="M272" i="7" s="1"/>
  <c r="L199" i="7"/>
  <c r="K201" i="7" s="1"/>
  <c r="M202" i="7" s="1"/>
  <c r="L119" i="7"/>
  <c r="K121" i="7" s="1"/>
  <c r="M122" i="7" s="1"/>
  <c r="L889" i="7"/>
  <c r="K891" i="7" s="1"/>
  <c r="M892" i="7" s="1"/>
  <c r="L419" i="7"/>
  <c r="K421" i="7" s="1"/>
  <c r="M422" i="7" s="1"/>
  <c r="L139" i="7"/>
  <c r="K141" i="7" s="1"/>
  <c r="M142" i="7" s="1"/>
  <c r="L679" i="7"/>
  <c r="K681" i="7" s="1"/>
  <c r="M682" i="7" s="1"/>
  <c r="L939" i="7"/>
  <c r="K941" i="7" s="1"/>
  <c r="M942" i="7" s="1"/>
  <c r="L859" i="7"/>
  <c r="K861" i="7" s="1"/>
  <c r="M862" i="7" s="1"/>
  <c r="L729" i="7"/>
  <c r="K731" i="7" s="1"/>
  <c r="M732" i="7" s="1"/>
  <c r="L669" i="7"/>
  <c r="K671" i="7" s="1"/>
  <c r="M672" i="7" s="1"/>
  <c r="L599" i="7"/>
  <c r="K601" i="7" s="1"/>
  <c r="M602" i="7" s="1"/>
  <c r="L469" i="7"/>
  <c r="K471" i="7" s="1"/>
  <c r="M472" i="7" s="1"/>
  <c r="L389" i="7"/>
  <c r="K391" i="7" s="1"/>
  <c r="M392" i="7" s="1"/>
  <c r="L259" i="7"/>
  <c r="K261" i="7" s="1"/>
  <c r="M262" i="7" s="1"/>
  <c r="L189" i="7"/>
  <c r="K191" i="7" s="1"/>
  <c r="M192" i="7" s="1"/>
  <c r="L109" i="7"/>
  <c r="K111" i="7" s="1"/>
  <c r="M112" i="7" s="1"/>
  <c r="L29" i="7"/>
  <c r="K31" i="7" s="1"/>
  <c r="M32" i="7" s="1"/>
  <c r="L969" i="7"/>
  <c r="K971" i="7" s="1"/>
  <c r="M972" i="7" s="1"/>
  <c r="L549" i="7"/>
  <c r="K551" i="7" s="1"/>
  <c r="M552" i="7" s="1"/>
  <c r="L929" i="7"/>
  <c r="K931" i="7" s="1"/>
  <c r="M932" i="7" s="1"/>
  <c r="L799" i="7"/>
  <c r="K801" i="7" s="1"/>
  <c r="M802" i="7" s="1"/>
  <c r="L719" i="7"/>
  <c r="K721" i="7" s="1"/>
  <c r="M722" i="7" s="1"/>
  <c r="L659" i="7"/>
  <c r="K661" i="7" s="1"/>
  <c r="M662" i="7" s="1"/>
  <c r="L589" i="7"/>
  <c r="K591" i="7" s="1"/>
  <c r="M592" i="7" s="1"/>
  <c r="L459" i="7"/>
  <c r="K461" i="7" s="1"/>
  <c r="M462" i="7" s="1"/>
  <c r="L379" i="7"/>
  <c r="K381" i="7" s="1"/>
  <c r="M382" i="7" s="1"/>
  <c r="L249" i="7"/>
  <c r="K251" i="7" s="1"/>
  <c r="M252" i="7" s="1"/>
  <c r="L179" i="7"/>
  <c r="K181" i="7" s="1"/>
  <c r="M182" i="7" s="1"/>
  <c r="L99" i="7"/>
  <c r="K101" i="7" s="1"/>
  <c r="M102" i="7" s="1"/>
  <c r="L19" i="7"/>
  <c r="K21" i="7" s="1"/>
  <c r="L759" i="7"/>
  <c r="K761" i="7" s="1"/>
  <c r="M762" i="7" s="1"/>
  <c r="L359" i="7"/>
  <c r="K361" i="7" s="1"/>
  <c r="M362" i="7" s="1"/>
  <c r="L739" i="7"/>
  <c r="K741" i="7" s="1"/>
  <c r="M742" i="7" s="1"/>
  <c r="L989" i="7"/>
  <c r="K991" i="7" s="1"/>
  <c r="M992" i="7" s="1"/>
  <c r="L919" i="7"/>
  <c r="K921" i="7" s="1"/>
  <c r="M922" i="7" s="1"/>
  <c r="L789" i="7"/>
  <c r="K791" i="7" s="1"/>
  <c r="M792" i="7" s="1"/>
  <c r="L709" i="7"/>
  <c r="K711" i="7" s="1"/>
  <c r="M712" i="7" s="1"/>
  <c r="L579" i="7"/>
  <c r="K581" i="7" s="1"/>
  <c r="M582" i="7" s="1"/>
  <c r="L519" i="7"/>
  <c r="K521" i="7" s="1"/>
  <c r="M522" i="7" s="1"/>
  <c r="L449" i="7"/>
  <c r="K451" i="7" s="1"/>
  <c r="M452" i="7" s="1"/>
  <c r="L319" i="7"/>
  <c r="K321" i="7" s="1"/>
  <c r="M322" i="7" s="1"/>
  <c r="L239" i="7"/>
  <c r="K241" i="7" s="1"/>
  <c r="M242" i="7" s="1"/>
  <c r="L169" i="7"/>
  <c r="K171" i="7" s="1"/>
  <c r="M172" i="7" s="1"/>
  <c r="L89" i="7"/>
  <c r="K91" i="7" s="1"/>
  <c r="M92" i="7" s="1"/>
  <c r="L829" i="7"/>
  <c r="K831" i="7" s="1"/>
  <c r="M832" i="7" s="1"/>
  <c r="L629" i="7"/>
  <c r="K631" i="7" s="1"/>
  <c r="M632" i="7" s="1"/>
  <c r="L289" i="7"/>
  <c r="K291" i="7" s="1"/>
  <c r="M292" i="7" s="1"/>
  <c r="L869" i="7"/>
  <c r="K871" i="7" s="1"/>
  <c r="M872" i="7" s="1"/>
  <c r="L979" i="7"/>
  <c r="K981" i="7" s="1"/>
  <c r="M982" i="7" s="1"/>
  <c r="L909" i="7"/>
  <c r="K911" i="7" s="1"/>
  <c r="M912" i="7" s="1"/>
  <c r="L779" i="7"/>
  <c r="K781" i="7" s="1"/>
  <c r="M782" i="7" s="1"/>
  <c r="L699" i="7"/>
  <c r="K701" i="7" s="1"/>
  <c r="M702" i="7" s="1"/>
  <c r="L569" i="7"/>
  <c r="K571" i="7" s="1"/>
  <c r="M572" i="7" s="1"/>
  <c r="L509" i="7"/>
  <c r="K511" i="7" s="1"/>
  <c r="M512" i="7" s="1"/>
  <c r="L439" i="7"/>
  <c r="K441" i="7" s="1"/>
  <c r="M442" i="7" s="1"/>
  <c r="L309" i="7"/>
  <c r="K311" i="7" s="1"/>
  <c r="M312" i="7" s="1"/>
  <c r="L229" i="7"/>
  <c r="K231" i="7" s="1"/>
  <c r="M232" i="7" s="1"/>
  <c r="L159" i="7"/>
  <c r="K161" i="7" s="1"/>
  <c r="M162" i="7" s="1"/>
  <c r="L79" i="7"/>
  <c r="K81" i="7" s="1"/>
  <c r="M82" i="7" s="1"/>
  <c r="J305" i="7"/>
  <c r="J306" i="7" s="1"/>
  <c r="J308" i="7" s="1"/>
  <c r="J307" i="7" s="1"/>
  <c r="J545" i="7"/>
  <c r="J546" i="7" s="1"/>
  <c r="J548" i="7" s="1"/>
  <c r="J547" i="7" s="1"/>
  <c r="J285" i="7"/>
  <c r="J286" i="7" s="1"/>
  <c r="J288" i="7" s="1"/>
  <c r="J287" i="7" s="1"/>
  <c r="J445" i="7"/>
  <c r="J446" i="7" s="1"/>
  <c r="J448" i="7" s="1"/>
  <c r="J447" i="7" s="1"/>
  <c r="J195" i="7"/>
  <c r="J196" i="7" s="1"/>
  <c r="J198" i="7" s="1"/>
  <c r="J197" i="7" s="1"/>
  <c r="J465" i="7"/>
  <c r="J466" i="7" s="1"/>
  <c r="J468" i="7" s="1"/>
  <c r="J467" i="7" s="1"/>
  <c r="J245" i="7"/>
  <c r="J246" i="7" s="1"/>
  <c r="J248" i="7" s="1"/>
  <c r="J247" i="7" s="1"/>
  <c r="J295" i="7"/>
  <c r="J296" i="7" s="1"/>
  <c r="J298" i="7" s="1"/>
  <c r="J297" i="7" s="1"/>
  <c r="J355" i="7"/>
  <c r="J356" i="7" s="1"/>
  <c r="J358" i="7" s="1"/>
  <c r="J357" i="7" s="1"/>
  <c r="J435" i="7"/>
  <c r="J436" i="7" s="1"/>
  <c r="J438" i="7" s="1"/>
  <c r="J437" i="7" s="1"/>
  <c r="J595" i="7"/>
  <c r="J596" i="7" s="1"/>
  <c r="J598" i="7" s="1"/>
  <c r="J597" i="7" s="1"/>
  <c r="J345" i="7"/>
  <c r="J346" i="7" s="1"/>
  <c r="J348" i="7" s="1"/>
  <c r="J347" i="7" s="1"/>
  <c r="I345" i="7" s="1"/>
  <c r="M139" i="7"/>
  <c r="M149" i="7" s="1"/>
  <c r="M159" i="7" s="1"/>
  <c r="M169" i="7" s="1"/>
  <c r="M179" i="7" s="1"/>
  <c r="M189" i="7" s="1"/>
  <c r="M199" i="7" s="1"/>
  <c r="M209" i="7" s="1"/>
  <c r="M219" i="7" s="1"/>
  <c r="M229" i="7" s="1"/>
  <c r="M239" i="7" s="1"/>
  <c r="M249" i="7" s="1"/>
  <c r="M259" i="7" s="1"/>
  <c r="M269" i="7" s="1"/>
  <c r="M279" i="7" s="1"/>
  <c r="M289" i="7" s="1"/>
  <c r="J45" i="7"/>
  <c r="J46" i="7" s="1"/>
  <c r="J48" i="7" s="1"/>
  <c r="J47" i="7" s="1"/>
  <c r="J55" i="7"/>
  <c r="J56" i="7" s="1"/>
  <c r="J58" i="7" s="1"/>
  <c r="J57" i="7" s="1"/>
  <c r="J35" i="7"/>
  <c r="J36" i="7" s="1"/>
  <c r="J38" i="7" s="1"/>
  <c r="J37" i="7" s="1"/>
  <c r="B4" i="8"/>
  <c r="B9" i="8" s="1"/>
  <c r="A5" i="8"/>
  <c r="A3" i="8"/>
  <c r="AA5" i="2"/>
  <c r="A7" i="8"/>
  <c r="B7" i="8" s="1"/>
  <c r="B4" i="7"/>
  <c r="A6" i="8"/>
  <c r="A2" i="3"/>
  <c r="I5" i="7"/>
  <c r="I910" i="7"/>
  <c r="I990" i="7"/>
  <c r="I750" i="7"/>
  <c r="I280" i="7"/>
  <c r="I60" i="7"/>
  <c r="I220" i="7"/>
  <c r="I300" i="7"/>
  <c r="I380" i="7"/>
  <c r="I460" i="7"/>
  <c r="I620" i="7"/>
  <c r="I920" i="7"/>
  <c r="I430" i="7"/>
  <c r="I670" i="7"/>
  <c r="I30" i="7"/>
  <c r="I540" i="7"/>
  <c r="I640" i="7"/>
  <c r="I720" i="7"/>
  <c r="I800" i="7"/>
  <c r="I190" i="7"/>
  <c r="I270" i="7"/>
  <c r="I350" i="7"/>
  <c r="I880" i="7"/>
  <c r="I160" i="7"/>
  <c r="I320" i="7"/>
  <c r="I400" i="7"/>
  <c r="I80" i="7"/>
  <c r="I590" i="7"/>
  <c r="I960" i="7"/>
  <c r="I90" i="7"/>
  <c r="I870" i="7"/>
  <c r="I780" i="7"/>
  <c r="I710" i="7"/>
  <c r="I650" i="7"/>
  <c r="I50" i="7"/>
  <c r="I370" i="7"/>
  <c r="I690" i="7"/>
  <c r="I420" i="7"/>
  <c r="I500" i="7"/>
  <c r="I580" i="7"/>
  <c r="I660" i="7"/>
  <c r="I820" i="7"/>
  <c r="I840" i="7"/>
  <c r="I290" i="7"/>
  <c r="I490" i="7"/>
  <c r="I200" i="7"/>
  <c r="I810" i="7"/>
  <c r="I428" i="7"/>
  <c r="I508" i="7"/>
  <c r="I588" i="7"/>
  <c r="I667" i="7"/>
  <c r="I668" i="7"/>
  <c r="I748" i="7"/>
  <c r="I127" i="7"/>
  <c r="I128" i="7"/>
  <c r="I100" i="7"/>
  <c r="I70" i="7"/>
  <c r="I230" i="7"/>
  <c r="I330" i="7"/>
  <c r="I130" i="7"/>
  <c r="I450" i="7"/>
  <c r="I610" i="7"/>
  <c r="I850" i="7"/>
  <c r="I930" i="7"/>
  <c r="I630" i="7"/>
  <c r="I790" i="7"/>
  <c r="I340" i="7"/>
  <c r="I570" i="7"/>
  <c r="I760" i="7"/>
  <c r="I20" i="7"/>
  <c r="I310" i="7"/>
  <c r="I550" i="7"/>
  <c r="I680" i="7"/>
  <c r="I317" i="7"/>
  <c r="I180" i="7"/>
  <c r="I260" i="7"/>
  <c r="I890" i="7"/>
  <c r="I470" i="7"/>
  <c r="I410" i="7"/>
  <c r="I378" i="7"/>
  <c r="I718" i="7"/>
  <c r="I878" i="7"/>
  <c r="I817" i="7"/>
  <c r="I818" i="7"/>
  <c r="I235" i="7"/>
  <c r="I236" i="7"/>
  <c r="I638" i="7"/>
  <c r="I77" i="7"/>
  <c r="I78" i="7"/>
  <c r="I558" i="7"/>
  <c r="I798" i="7"/>
  <c r="I928" i="7"/>
  <c r="I97" i="7"/>
  <c r="I98" i="7"/>
  <c r="I898" i="7"/>
  <c r="I367" i="7"/>
  <c r="I368" i="7"/>
  <c r="I938" i="7"/>
  <c r="I68" i="7"/>
  <c r="I788" i="7"/>
  <c r="I88" i="7"/>
  <c r="I138" i="7"/>
  <c r="I238" i="7"/>
  <c r="I120" i="7"/>
  <c r="I178" i="7"/>
  <c r="I228" i="7"/>
  <c r="I218" i="7"/>
  <c r="I108" i="7"/>
  <c r="I67" i="7"/>
  <c r="I118" i="7"/>
  <c r="I40" i="7"/>
  <c r="I87" i="7"/>
  <c r="I258" i="7"/>
  <c r="I168" i="7"/>
  <c r="I277" i="7"/>
  <c r="I398" i="7"/>
  <c r="I338" i="7"/>
  <c r="I648" i="7"/>
  <c r="I498" i="7"/>
  <c r="I518" i="7"/>
  <c r="I440" i="7"/>
  <c r="I210" i="7"/>
  <c r="I250" i="7"/>
  <c r="I328" i="7"/>
  <c r="I110" i="7"/>
  <c r="I170" i="7"/>
  <c r="I237" i="7"/>
  <c r="I240" i="7"/>
  <c r="I278" i="7"/>
  <c r="I478" i="7"/>
  <c r="I528" i="7"/>
  <c r="I360" i="7"/>
  <c r="I390" i="7"/>
  <c r="I388" i="7"/>
  <c r="I510" i="7"/>
  <c r="I488" i="7"/>
  <c r="I530" i="7"/>
  <c r="I768" i="7"/>
  <c r="I568" i="7"/>
  <c r="I698" i="7"/>
  <c r="I408" i="7"/>
  <c r="I520" i="7"/>
  <c r="I730" i="7"/>
  <c r="I608" i="7"/>
  <c r="I778" i="7"/>
  <c r="I688" i="7"/>
  <c r="I758" i="7"/>
  <c r="I708" i="7"/>
  <c r="I848" i="7"/>
  <c r="I560" i="7"/>
  <c r="I600" i="7"/>
  <c r="I700" i="7"/>
  <c r="I787" i="7"/>
  <c r="I480" i="7"/>
  <c r="I838" i="7"/>
  <c r="I830" i="7"/>
  <c r="I888" i="7"/>
  <c r="I900" i="7"/>
  <c r="I740" i="7"/>
  <c r="I988" i="7"/>
  <c r="I868" i="7"/>
  <c r="I860" i="7"/>
  <c r="I950" i="7"/>
  <c r="I968" i="7"/>
  <c r="I998" i="7"/>
  <c r="I978" i="7"/>
  <c r="I970" i="7"/>
  <c r="I770" i="7"/>
  <c r="I980" i="7"/>
  <c r="I940" i="7"/>
  <c r="X102" i="10" l="1"/>
  <c r="X110" i="10"/>
  <c r="X118" i="10"/>
  <c r="X126" i="10"/>
  <c r="AA76" i="10" s="1"/>
  <c r="X134" i="10"/>
  <c r="AA84" i="10" s="1"/>
  <c r="X142" i="10"/>
  <c r="AA92" i="10" s="1"/>
  <c r="X51" i="10"/>
  <c r="X59" i="10"/>
  <c r="X67" i="10"/>
  <c r="X75" i="10"/>
  <c r="X83" i="10"/>
  <c r="X91" i="10"/>
  <c r="X95" i="10"/>
  <c r="AA45" i="10" s="1"/>
  <c r="X103" i="10"/>
  <c r="AA53" i="10" s="1"/>
  <c r="X111" i="10"/>
  <c r="X119" i="10"/>
  <c r="AA69" i="10" s="1"/>
  <c r="X127" i="10"/>
  <c r="X135" i="10"/>
  <c r="X143" i="10"/>
  <c r="X52" i="10"/>
  <c r="X60" i="10"/>
  <c r="X68" i="10"/>
  <c r="X76" i="10"/>
  <c r="X84" i="10"/>
  <c r="X92" i="10"/>
  <c r="X104" i="10"/>
  <c r="X112" i="10"/>
  <c r="X120" i="10"/>
  <c r="AA70" i="10" s="1"/>
  <c r="X128" i="10"/>
  <c r="AA78" i="10" s="1"/>
  <c r="X136" i="10"/>
  <c r="AA86" i="10" s="1"/>
  <c r="X53" i="10"/>
  <c r="X61" i="10"/>
  <c r="X69" i="10"/>
  <c r="X77" i="10"/>
  <c r="X85" i="10"/>
  <c r="X93" i="10"/>
  <c r="X96" i="10"/>
  <c r="AA46" i="10" s="1"/>
  <c r="X97" i="10"/>
  <c r="AA47" i="10" s="1"/>
  <c r="X105" i="10"/>
  <c r="AA55" i="10" s="1"/>
  <c r="X113" i="10"/>
  <c r="AA63" i="10" s="1"/>
  <c r="X121" i="10"/>
  <c r="X129" i="10"/>
  <c r="X137" i="10"/>
  <c r="X46" i="10"/>
  <c r="X54" i="10"/>
  <c r="X62" i="10"/>
  <c r="X70" i="10"/>
  <c r="X78" i="10"/>
  <c r="X86" i="10"/>
  <c r="X94" i="10"/>
  <c r="X98" i="10"/>
  <c r="AA48" i="10" s="1"/>
  <c r="X106" i="10"/>
  <c r="AA56" i="10" s="1"/>
  <c r="X114" i="10"/>
  <c r="AA64" i="10" s="1"/>
  <c r="X122" i="10"/>
  <c r="AA72" i="10" s="1"/>
  <c r="X130" i="10"/>
  <c r="AA80" i="10" s="1"/>
  <c r="X138" i="10"/>
  <c r="AA88" i="10" s="1"/>
  <c r="X47" i="10"/>
  <c r="X55" i="10"/>
  <c r="X63" i="10"/>
  <c r="X71" i="10"/>
  <c r="X79" i="10"/>
  <c r="X87" i="10"/>
  <c r="X65" i="10"/>
  <c r="X89" i="10"/>
  <c r="X99" i="10"/>
  <c r="X107" i="10"/>
  <c r="X115" i="10"/>
  <c r="X123" i="10"/>
  <c r="AA73" i="10" s="1"/>
  <c r="X131" i="10"/>
  <c r="AA81" i="10" s="1"/>
  <c r="X139" i="10"/>
  <c r="AA89" i="10" s="1"/>
  <c r="X48" i="10"/>
  <c r="X56" i="10"/>
  <c r="X64" i="10"/>
  <c r="X72" i="10"/>
  <c r="X80" i="10"/>
  <c r="X88" i="10"/>
  <c r="X100" i="10"/>
  <c r="AA50" i="10" s="1"/>
  <c r="X108" i="10"/>
  <c r="AA58" i="10" s="1"/>
  <c r="X116" i="10"/>
  <c r="AA66" i="10" s="1"/>
  <c r="X124" i="10"/>
  <c r="AA74" i="10" s="1"/>
  <c r="X132" i="10"/>
  <c r="X140" i="10"/>
  <c r="AA90" i="10" s="1"/>
  <c r="X49" i="10"/>
  <c r="X57" i="10"/>
  <c r="X73" i="10"/>
  <c r="X81" i="10"/>
  <c r="X101" i="10"/>
  <c r="AA51" i="10" s="1"/>
  <c r="X109" i="10"/>
  <c r="AA59" i="10" s="1"/>
  <c r="X117" i="10"/>
  <c r="AA67" i="10" s="1"/>
  <c r="X125" i="10"/>
  <c r="AA75" i="10" s="1"/>
  <c r="X133" i="10"/>
  <c r="AA83" i="10" s="1"/>
  <c r="X141" i="10"/>
  <c r="AA91" i="10" s="1"/>
  <c r="X50" i="10"/>
  <c r="X58" i="10"/>
  <c r="X66" i="10"/>
  <c r="X74" i="10"/>
  <c r="X82" i="10"/>
  <c r="X90" i="10"/>
  <c r="AB93" i="10"/>
  <c r="AA93" i="10"/>
  <c r="AB97" i="4"/>
  <c r="AB92" i="10"/>
  <c r="AB80" i="4"/>
  <c r="X146" i="4"/>
  <c r="AA96" i="4" s="1"/>
  <c r="AB96" i="4"/>
  <c r="AB90" i="10"/>
  <c r="AB86" i="10"/>
  <c r="AB82" i="10"/>
  <c r="AB78" i="10"/>
  <c r="AB75" i="10"/>
  <c r="AB69" i="10"/>
  <c r="AB65" i="10"/>
  <c r="AB63" i="10"/>
  <c r="AB57" i="10"/>
  <c r="AB55" i="10"/>
  <c r="AB51" i="10"/>
  <c r="AB47" i="10"/>
  <c r="AB73" i="10"/>
  <c r="AB67" i="10"/>
  <c r="AB59" i="10"/>
  <c r="AB53" i="10"/>
  <c r="AB49" i="10"/>
  <c r="AB89" i="10"/>
  <c r="AB85" i="10"/>
  <c r="AB81" i="10"/>
  <c r="AB77" i="10"/>
  <c r="AB71" i="10"/>
  <c r="AB61" i="10"/>
  <c r="AB45" i="10"/>
  <c r="AB88" i="10"/>
  <c r="AB84" i="10"/>
  <c r="AB80" i="10"/>
  <c r="AB91" i="10"/>
  <c r="AB87" i="10"/>
  <c r="AB83" i="10"/>
  <c r="AB79" i="10"/>
  <c r="AB76" i="10"/>
  <c r="AB74" i="10"/>
  <c r="AB72" i="10"/>
  <c r="AB70" i="10"/>
  <c r="AB68" i="10"/>
  <c r="AB66" i="10"/>
  <c r="AB64" i="10"/>
  <c r="AB62" i="10"/>
  <c r="AB60" i="10"/>
  <c r="AB58" i="10"/>
  <c r="AB56" i="10"/>
  <c r="AB54" i="10"/>
  <c r="AB52" i="10"/>
  <c r="AB50" i="10"/>
  <c r="AB48" i="10"/>
  <c r="AB46" i="10"/>
  <c r="AA68" i="10"/>
  <c r="AA87" i="10"/>
  <c r="AA77" i="10"/>
  <c r="AA82" i="10"/>
  <c r="AA54" i="10"/>
  <c r="AA49" i="10"/>
  <c r="AA85" i="10"/>
  <c r="AA62" i="10"/>
  <c r="AA71" i="10"/>
  <c r="AA57" i="10"/>
  <c r="AA52" i="10"/>
  <c r="AA61" i="10"/>
  <c r="AA79" i="10"/>
  <c r="AA60" i="10"/>
  <c r="AA65" i="10"/>
  <c r="X93" i="4"/>
  <c r="X142" i="4"/>
  <c r="AA92" i="4" s="1"/>
  <c r="X133" i="4"/>
  <c r="AA83" i="4" s="1"/>
  <c r="X116" i="4"/>
  <c r="AA66" i="4" s="1"/>
  <c r="X114" i="4"/>
  <c r="AA64" i="4" s="1"/>
  <c r="X104" i="4"/>
  <c r="AA54" i="4" s="1"/>
  <c r="X135" i="4"/>
  <c r="AA85" i="4" s="1"/>
  <c r="X134" i="4"/>
  <c r="AA84" i="4" s="1"/>
  <c r="X125" i="4"/>
  <c r="AA75" i="4" s="1"/>
  <c r="X108" i="4"/>
  <c r="AA58" i="4" s="1"/>
  <c r="X145" i="4"/>
  <c r="AA95" i="4" s="1"/>
  <c r="X122" i="4"/>
  <c r="AA72" i="4" s="1"/>
  <c r="X96" i="4"/>
  <c r="X127" i="4"/>
  <c r="AA77" i="4" s="1"/>
  <c r="X126" i="4"/>
  <c r="AA76" i="4" s="1"/>
  <c r="X117" i="4"/>
  <c r="AA67" i="4" s="1"/>
  <c r="X100" i="4"/>
  <c r="AA50" i="4" s="1"/>
  <c r="X137" i="4"/>
  <c r="AA87" i="4" s="1"/>
  <c r="X98" i="4"/>
  <c r="X119" i="4"/>
  <c r="AA69" i="4" s="1"/>
  <c r="X118" i="4"/>
  <c r="AA68" i="4" s="1"/>
  <c r="X109" i="4"/>
  <c r="AA59" i="4" s="1"/>
  <c r="X139" i="4"/>
  <c r="AA89" i="4" s="1"/>
  <c r="X129" i="4"/>
  <c r="AA79" i="4" s="1"/>
  <c r="X144" i="4"/>
  <c r="AA94" i="4" s="1"/>
  <c r="X123" i="4"/>
  <c r="AA73" i="4" s="1"/>
  <c r="X111" i="4"/>
  <c r="AA61" i="4" s="1"/>
  <c r="X110" i="4"/>
  <c r="AA60" i="4" s="1"/>
  <c r="X101" i="4"/>
  <c r="AA51" i="4" s="1"/>
  <c r="X131" i="4"/>
  <c r="AA81" i="4" s="1"/>
  <c r="X121" i="4"/>
  <c r="AA71" i="4" s="1"/>
  <c r="X136" i="4"/>
  <c r="AA86" i="4" s="1"/>
  <c r="X107" i="4"/>
  <c r="AA57" i="4" s="1"/>
  <c r="X103" i="4"/>
  <c r="AA53" i="4" s="1"/>
  <c r="X102" i="4"/>
  <c r="AA52" i="4" s="1"/>
  <c r="X140" i="4"/>
  <c r="AA90" i="4" s="1"/>
  <c r="X115" i="4"/>
  <c r="AA65" i="4" s="1"/>
  <c r="X113" i="4"/>
  <c r="AA63" i="4" s="1"/>
  <c r="X128" i="4"/>
  <c r="AA78" i="4" s="1"/>
  <c r="X130" i="4"/>
  <c r="AA80" i="4" s="1"/>
  <c r="X95" i="4"/>
  <c r="X94" i="4"/>
  <c r="X132" i="4"/>
  <c r="AA82" i="4" s="1"/>
  <c r="X99" i="4"/>
  <c r="AA49" i="4" s="1"/>
  <c r="X105" i="4"/>
  <c r="AA55" i="4" s="1"/>
  <c r="X120" i="4"/>
  <c r="AA70" i="4" s="1"/>
  <c r="X106" i="4"/>
  <c r="AA56" i="4" s="1"/>
  <c r="X141" i="4"/>
  <c r="AA91" i="4" s="1"/>
  <c r="X124" i="4"/>
  <c r="AA74" i="4" s="1"/>
  <c r="X138" i="4"/>
  <c r="AA88" i="4" s="1"/>
  <c r="X97" i="4"/>
  <c r="X112" i="4"/>
  <c r="AA62" i="4" s="1"/>
  <c r="X143" i="4"/>
  <c r="AA93" i="4" s="1"/>
  <c r="AB93" i="4"/>
  <c r="AB65" i="4"/>
  <c r="AB51" i="4"/>
  <c r="AB86" i="4"/>
  <c r="AB77" i="4"/>
  <c r="AB60" i="4"/>
  <c r="AB90" i="4"/>
  <c r="AB89" i="4"/>
  <c r="AB64" i="4"/>
  <c r="AB78" i="4"/>
  <c r="AB69" i="4"/>
  <c r="AB52" i="4"/>
  <c r="AB82" i="4"/>
  <c r="AB81" i="4"/>
  <c r="AB56" i="4"/>
  <c r="AB76" i="4"/>
  <c r="AB85" i="4"/>
  <c r="AB95" i="4"/>
  <c r="AB70" i="4"/>
  <c r="AB61" i="4"/>
  <c r="AB91" i="4"/>
  <c r="AB74" i="4"/>
  <c r="AB73" i="4"/>
  <c r="AB68" i="4"/>
  <c r="AB87" i="4"/>
  <c r="AB62" i="4"/>
  <c r="AB53" i="4"/>
  <c r="AB83" i="4"/>
  <c r="AB66" i="4"/>
  <c r="AB57" i="4"/>
  <c r="AB94" i="4"/>
  <c r="AB49" i="4"/>
  <c r="AB79" i="4"/>
  <c r="AB54" i="4"/>
  <c r="AB92" i="4"/>
  <c r="AB75" i="4"/>
  <c r="AB58" i="4"/>
  <c r="AB55" i="4"/>
  <c r="AB59" i="4"/>
  <c r="AB72" i="4"/>
  <c r="AB71" i="4"/>
  <c r="AB63" i="4"/>
  <c r="AB84" i="4"/>
  <c r="AB67" i="4"/>
  <c r="AB50" i="4"/>
  <c r="AB88" i="4"/>
  <c r="X91" i="4"/>
  <c r="X92" i="4"/>
  <c r="X86" i="4"/>
  <c r="X90" i="4"/>
  <c r="X89" i="4"/>
  <c r="X87" i="4"/>
  <c r="X88" i="4"/>
  <c r="X84" i="4"/>
  <c r="X85" i="4"/>
  <c r="X82" i="4"/>
  <c r="X83" i="4"/>
  <c r="X79" i="4"/>
  <c r="X81" i="4"/>
  <c r="X80" i="4"/>
  <c r="X77" i="4"/>
  <c r="X78" i="4"/>
  <c r="X75" i="4"/>
  <c r="X76" i="4"/>
  <c r="X74" i="4"/>
  <c r="X73" i="4"/>
  <c r="X71" i="4"/>
  <c r="X72" i="4"/>
  <c r="X69" i="4"/>
  <c r="X70" i="4"/>
  <c r="X67" i="4"/>
  <c r="X68" i="4"/>
  <c r="X65" i="4"/>
  <c r="X66" i="4"/>
  <c r="X63" i="4"/>
  <c r="X64" i="4"/>
  <c r="X53" i="4"/>
  <c r="X61" i="4"/>
  <c r="X56" i="4"/>
  <c r="X54" i="4"/>
  <c r="X62" i="4"/>
  <c r="X57" i="4"/>
  <c r="X55" i="4"/>
  <c r="X50" i="4"/>
  <c r="X58" i="4"/>
  <c r="X51" i="4"/>
  <c r="X59" i="4"/>
  <c r="X52" i="4"/>
  <c r="X60" i="4"/>
  <c r="I25" i="10"/>
  <c r="S18" i="10"/>
  <c r="Q20" i="10" s="1"/>
  <c r="R18" i="10"/>
  <c r="Q18" i="10"/>
  <c r="L15" i="10"/>
  <c r="P15" i="10" s="1"/>
  <c r="S20" i="10"/>
  <c r="C3" i="10"/>
  <c r="L19" i="10"/>
  <c r="P19" i="10" s="1"/>
  <c r="R16" i="10"/>
  <c r="Q16" i="10"/>
  <c r="S16" i="10"/>
  <c r="H25" i="10"/>
  <c r="Y49" i="4"/>
  <c r="X49" i="4" s="1"/>
  <c r="Y45" i="10"/>
  <c r="X45" i="10" s="1"/>
  <c r="I727" i="7"/>
  <c r="I728" i="7"/>
  <c r="I917" i="7"/>
  <c r="I808" i="7"/>
  <c r="I288" i="7"/>
  <c r="I658" i="7"/>
  <c r="K23" i="7"/>
  <c r="M22" i="7"/>
  <c r="K13" i="7"/>
  <c r="I948" i="7"/>
  <c r="I467" i="7"/>
  <c r="I348" i="7"/>
  <c r="I347" i="7"/>
  <c r="I828" i="7"/>
  <c r="I918" i="7"/>
  <c r="I657" i="7"/>
  <c r="I678" i="7"/>
  <c r="L59" i="7"/>
  <c r="K61" i="7" s="1"/>
  <c r="L39" i="7"/>
  <c r="K41" i="7" s="1"/>
  <c r="M42" i="7" s="1"/>
  <c r="I346" i="7"/>
  <c r="I947" i="7"/>
  <c r="I807" i="7"/>
  <c r="I628" i="7"/>
  <c r="I726" i="7"/>
  <c r="I448" i="7"/>
  <c r="I447" i="7"/>
  <c r="I446" i="7"/>
  <c r="I298" i="7"/>
  <c r="I598" i="7"/>
  <c r="I248" i="7"/>
  <c r="I287" i="7"/>
  <c r="I28" i="7"/>
  <c r="I438" i="7"/>
  <c r="I468" i="7"/>
  <c r="I548" i="7"/>
  <c r="I48" i="7"/>
  <c r="I38" i="7"/>
  <c r="I358" i="7"/>
  <c r="I198" i="7"/>
  <c r="I308" i="7"/>
  <c r="M299" i="7"/>
  <c r="I47" i="7"/>
  <c r="I58" i="7"/>
  <c r="B5" i="8"/>
  <c r="AG7" i="2"/>
  <c r="I915" i="7"/>
  <c r="I897" i="7"/>
  <c r="I357" i="7"/>
  <c r="I587" i="7"/>
  <c r="I445" i="7"/>
  <c r="I365" i="7"/>
  <c r="I125" i="7"/>
  <c r="I626" i="7"/>
  <c r="I946" i="7"/>
  <c r="I427" i="7"/>
  <c r="I437" i="7"/>
  <c r="I315" i="7"/>
  <c r="I557" i="7"/>
  <c r="I747" i="7"/>
  <c r="I318" i="7"/>
  <c r="I627" i="7"/>
  <c r="I234" i="7"/>
  <c r="I585" i="7"/>
  <c r="I586" i="7"/>
  <c r="I507" i="7"/>
  <c r="I665" i="7"/>
  <c r="I247" i="7"/>
  <c r="I96" i="7"/>
  <c r="I927" i="7"/>
  <c r="I418" i="7"/>
  <c r="I27" i="7"/>
  <c r="I877" i="7"/>
  <c r="I797" i="7"/>
  <c r="I717" i="7"/>
  <c r="I677" i="7"/>
  <c r="I937" i="7"/>
  <c r="I815" i="7"/>
  <c r="I858" i="7"/>
  <c r="I637" i="7"/>
  <c r="I75" i="7"/>
  <c r="I197" i="7"/>
  <c r="I547" i="7"/>
  <c r="I895" i="7"/>
  <c r="I896" i="7"/>
  <c r="I377" i="7"/>
  <c r="I458" i="7"/>
  <c r="I687" i="7"/>
  <c r="I597" i="7"/>
  <c r="I647" i="7"/>
  <c r="I417" i="7"/>
  <c r="I497" i="7"/>
  <c r="I217" i="7"/>
  <c r="I837" i="7"/>
  <c r="I757" i="7"/>
  <c r="I738" i="7"/>
  <c r="I578" i="7"/>
  <c r="I827" i="7"/>
  <c r="I188" i="7"/>
  <c r="I245" i="7"/>
  <c r="I246" i="7"/>
  <c r="I397" i="7"/>
  <c r="I117" i="7"/>
  <c r="I777" i="7"/>
  <c r="I847" i="7"/>
  <c r="I57" i="7"/>
  <c r="I487" i="7"/>
  <c r="I208" i="7"/>
  <c r="I977" i="7"/>
  <c r="I656" i="7"/>
  <c r="I655" i="7"/>
  <c r="I707" i="7"/>
  <c r="I407" i="7"/>
  <c r="I268" i="7"/>
  <c r="I227" i="7"/>
  <c r="I967" i="7"/>
  <c r="I435" i="7"/>
  <c r="I436" i="7"/>
  <c r="I65" i="7"/>
  <c r="I66" i="7"/>
  <c r="I806" i="7"/>
  <c r="I805" i="7"/>
  <c r="I567" i="7"/>
  <c r="I257" i="7"/>
  <c r="I908" i="7"/>
  <c r="I746" i="7"/>
  <c r="I745" i="7"/>
  <c r="I285" i="7"/>
  <c r="I286" i="7"/>
  <c r="I355" i="7"/>
  <c r="I356" i="7"/>
  <c r="I45" i="7"/>
  <c r="I46" i="7"/>
  <c r="I958" i="7"/>
  <c r="I887" i="7"/>
  <c r="I387" i="7"/>
  <c r="I517" i="7"/>
  <c r="I37" i="7"/>
  <c r="I538" i="7"/>
  <c r="I607" i="7"/>
  <c r="I767" i="7"/>
  <c r="I636" i="7"/>
  <c r="I635" i="7"/>
  <c r="I425" i="7"/>
  <c r="I426" i="7"/>
  <c r="I477" i="7"/>
  <c r="I327" i="7"/>
  <c r="I297" i="7"/>
  <c r="I276" i="7"/>
  <c r="I275" i="7"/>
  <c r="I107" i="7"/>
  <c r="I867" i="7"/>
  <c r="I618" i="7"/>
  <c r="I555" i="7"/>
  <c r="I556" i="7"/>
  <c r="I987" i="7"/>
  <c r="I785" i="7"/>
  <c r="I786" i="7"/>
  <c r="I307" i="7"/>
  <c r="I86" i="7"/>
  <c r="I85" i="7"/>
  <c r="I527" i="7"/>
  <c r="I337" i="7"/>
  <c r="I997" i="7"/>
  <c r="I697" i="7"/>
  <c r="I167" i="7"/>
  <c r="I177" i="7"/>
  <c r="F25" i="10" l="1"/>
  <c r="Q22" i="10" s="1"/>
  <c r="L20" i="10"/>
  <c r="P20" i="10" s="1"/>
  <c r="A20" i="10" s="1"/>
  <c r="I724" i="7"/>
  <c r="I344" i="7"/>
  <c r="K15" i="7"/>
  <c r="M14" i="7"/>
  <c r="M62" i="7"/>
  <c r="K63" i="7"/>
  <c r="K25" i="7"/>
  <c r="M24" i="7"/>
  <c r="I944" i="7"/>
  <c r="I444" i="7"/>
  <c r="M309" i="7"/>
  <c r="M319" i="7" s="1"/>
  <c r="M329" i="7" s="1"/>
  <c r="M339" i="7" s="1"/>
  <c r="M349" i="7" s="1"/>
  <c r="M359" i="7" s="1"/>
  <c r="M369" i="7" s="1"/>
  <c r="M379" i="7" s="1"/>
  <c r="M389" i="7" s="1"/>
  <c r="M399" i="7" s="1"/>
  <c r="M409" i="7" s="1"/>
  <c r="I916" i="7"/>
  <c r="I914" i="7" s="1"/>
  <c r="AG8" i="2"/>
  <c r="I804" i="7"/>
  <c r="I366" i="7"/>
  <c r="I364" i="7" s="1"/>
  <c r="I126" i="7"/>
  <c r="I124" i="7" s="1"/>
  <c r="I624" i="7"/>
  <c r="I84" i="7"/>
  <c r="I666" i="7"/>
  <c r="I664" i="7" s="1"/>
  <c r="I137" i="7"/>
  <c r="I316" i="7"/>
  <c r="I314" i="7" s="1"/>
  <c r="I584" i="7"/>
  <c r="I816" i="7"/>
  <c r="I814" i="7" s="1"/>
  <c r="I936" i="7"/>
  <c r="I634" i="7"/>
  <c r="I95" i="7"/>
  <c r="I94" i="7" s="1"/>
  <c r="I894" i="7"/>
  <c r="I274" i="7"/>
  <c r="I506" i="7"/>
  <c r="I505" i="7"/>
  <c r="I64" i="7"/>
  <c r="I466" i="7"/>
  <c r="I465" i="7"/>
  <c r="I284" i="7"/>
  <c r="I457" i="7"/>
  <c r="I744" i="7"/>
  <c r="I676" i="7"/>
  <c r="I675" i="7"/>
  <c r="I876" i="7"/>
  <c r="I875" i="7"/>
  <c r="I26" i="7"/>
  <c r="I25" i="7"/>
  <c r="I76" i="7"/>
  <c r="I74" i="7" s="1"/>
  <c r="I196" i="7"/>
  <c r="I195" i="7"/>
  <c r="I376" i="7"/>
  <c r="I375" i="7"/>
  <c r="I715" i="7"/>
  <c r="I716" i="7"/>
  <c r="I926" i="7"/>
  <c r="I925" i="7"/>
  <c r="I857" i="7"/>
  <c r="I784" i="7"/>
  <c r="I545" i="7"/>
  <c r="I546" i="7"/>
  <c r="I795" i="7"/>
  <c r="I796" i="7"/>
  <c r="I996" i="7"/>
  <c r="I995" i="7"/>
  <c r="I605" i="7"/>
  <c r="I606" i="7"/>
  <c r="I424" i="7"/>
  <c r="I957" i="7"/>
  <c r="I476" i="7"/>
  <c r="I475" i="7"/>
  <c r="I766" i="7"/>
  <c r="I765" i="7"/>
  <c r="I654" i="7"/>
  <c r="I56" i="7"/>
  <c r="I55" i="7"/>
  <c r="I115" i="7"/>
  <c r="I116" i="7"/>
  <c r="I826" i="7"/>
  <c r="I825" i="7"/>
  <c r="I415" i="7"/>
  <c r="I416" i="7"/>
  <c r="I136" i="7"/>
  <c r="I135" i="7"/>
  <c r="I836" i="7"/>
  <c r="I835" i="7"/>
  <c r="I645" i="7"/>
  <c r="I646" i="7"/>
  <c r="I434" i="7"/>
  <c r="I396" i="7"/>
  <c r="I395" i="7"/>
  <c r="I577" i="7"/>
  <c r="I907" i="7"/>
  <c r="I166" i="7"/>
  <c r="I165" i="7"/>
  <c r="I986" i="7"/>
  <c r="I985" i="7"/>
  <c r="I866" i="7"/>
  <c r="I865" i="7"/>
  <c r="I975" i="7"/>
  <c r="I976" i="7"/>
  <c r="I617" i="7"/>
  <c r="I295" i="7"/>
  <c r="I296" i="7"/>
  <c r="I516" i="7"/>
  <c r="I515" i="7"/>
  <c r="I845" i="7"/>
  <c r="I846" i="7"/>
  <c r="I886" i="7"/>
  <c r="I885" i="7"/>
  <c r="I335" i="7"/>
  <c r="I336" i="7"/>
  <c r="I267" i="7"/>
  <c r="I537" i="7"/>
  <c r="I565" i="7"/>
  <c r="I566" i="7"/>
  <c r="I207" i="7"/>
  <c r="I737" i="7"/>
  <c r="I215" i="7"/>
  <c r="I216" i="7"/>
  <c r="I696" i="7"/>
  <c r="I695" i="7"/>
  <c r="I525" i="7"/>
  <c r="I526" i="7"/>
  <c r="I306" i="7"/>
  <c r="I305" i="7"/>
  <c r="I325" i="7"/>
  <c r="I326" i="7"/>
  <c r="I44" i="7"/>
  <c r="I966" i="7"/>
  <c r="I965" i="7"/>
  <c r="I405" i="7"/>
  <c r="I406" i="7"/>
  <c r="I775" i="7"/>
  <c r="I776" i="7"/>
  <c r="I244" i="7"/>
  <c r="I595" i="7"/>
  <c r="I596" i="7"/>
  <c r="I554" i="7"/>
  <c r="I386" i="7"/>
  <c r="I385" i="7"/>
  <c r="I255" i="7"/>
  <c r="I256" i="7"/>
  <c r="I705" i="7"/>
  <c r="I706" i="7"/>
  <c r="I175" i="7"/>
  <c r="I176" i="7"/>
  <c r="I106" i="7"/>
  <c r="I105" i="7"/>
  <c r="I36" i="7"/>
  <c r="I35" i="7"/>
  <c r="I354" i="7"/>
  <c r="I225" i="7"/>
  <c r="I226" i="7"/>
  <c r="I485" i="7"/>
  <c r="I486" i="7"/>
  <c r="I187" i="7"/>
  <c r="I756" i="7"/>
  <c r="I755" i="7"/>
  <c r="I496" i="7"/>
  <c r="I495" i="7"/>
  <c r="I686" i="7"/>
  <c r="I685" i="7"/>
  <c r="F17" i="10" l="1"/>
  <c r="F15" i="10"/>
  <c r="K25" i="10"/>
  <c r="L26" i="10" s="1"/>
  <c r="M15" i="10" s="1"/>
  <c r="F19" i="10"/>
  <c r="S22" i="10"/>
  <c r="B23" i="10"/>
  <c r="K65" i="7"/>
  <c r="M64" i="7"/>
  <c r="K27" i="7"/>
  <c r="M26" i="7"/>
  <c r="K17" i="7"/>
  <c r="M16" i="7"/>
  <c r="M419" i="7"/>
  <c r="M429" i="7" s="1"/>
  <c r="M439" i="7" s="1"/>
  <c r="M449" i="7" s="1"/>
  <c r="AG9" i="2"/>
  <c r="I935" i="7"/>
  <c r="I934" i="7" s="1"/>
  <c r="I34" i="7"/>
  <c r="I134" i="7"/>
  <c r="I54" i="7"/>
  <c r="I924" i="7"/>
  <c r="I834" i="7"/>
  <c r="I824" i="7"/>
  <c r="I764" i="7"/>
  <c r="I374" i="7"/>
  <c r="I514" i="7"/>
  <c r="I864" i="7"/>
  <c r="I994" i="7"/>
  <c r="I674" i="7"/>
  <c r="I694" i="7"/>
  <c r="I194" i="7"/>
  <c r="I504" i="7"/>
  <c r="I544" i="7"/>
  <c r="I464" i="7"/>
  <c r="I884" i="7"/>
  <c r="I754" i="7"/>
  <c r="I964" i="7"/>
  <c r="I714" i="7"/>
  <c r="I874" i="7"/>
  <c r="I334" i="7"/>
  <c r="I294" i="7"/>
  <c r="I114" i="7"/>
  <c r="I856" i="7"/>
  <c r="I855" i="7"/>
  <c r="I484" i="7"/>
  <c r="I774" i="7"/>
  <c r="I324" i="7"/>
  <c r="I214" i="7"/>
  <c r="I794" i="7"/>
  <c r="I456" i="7"/>
  <c r="I455" i="7"/>
  <c r="I494" i="7"/>
  <c r="I304" i="7"/>
  <c r="I164" i="7"/>
  <c r="I24" i="7"/>
  <c r="I616" i="7"/>
  <c r="I615" i="7"/>
  <c r="I684" i="7"/>
  <c r="I384" i="7"/>
  <c r="I536" i="7"/>
  <c r="I535" i="7"/>
  <c r="I984" i="7"/>
  <c r="I394" i="7"/>
  <c r="I224" i="7"/>
  <c r="I404" i="7"/>
  <c r="I735" i="7"/>
  <c r="I736" i="7"/>
  <c r="I955" i="7"/>
  <c r="I956" i="7"/>
  <c r="I174" i="7"/>
  <c r="I844" i="7"/>
  <c r="I905" i="7"/>
  <c r="I906" i="7"/>
  <c r="I644" i="7"/>
  <c r="I414" i="7"/>
  <c r="I704" i="7"/>
  <c r="I524" i="7"/>
  <c r="I205" i="7"/>
  <c r="I206" i="7"/>
  <c r="I266" i="7"/>
  <c r="I265" i="7"/>
  <c r="I974" i="7"/>
  <c r="I604" i="7"/>
  <c r="I186" i="7"/>
  <c r="I185" i="7"/>
  <c r="I594" i="7"/>
  <c r="I104" i="7"/>
  <c r="I254" i="7"/>
  <c r="I564" i="7"/>
  <c r="I575" i="7"/>
  <c r="I576" i="7"/>
  <c r="I474" i="7"/>
  <c r="M26" i="10" l="1"/>
  <c r="M17" i="10" s="1"/>
  <c r="M25" i="10"/>
  <c r="M19" i="10" s="1"/>
  <c r="M18" i="7"/>
  <c r="K19" i="7"/>
  <c r="K29" i="7"/>
  <c r="K33" i="7" s="1"/>
  <c r="M28" i="7"/>
  <c r="K67" i="7"/>
  <c r="M66" i="7"/>
  <c r="M459" i="7"/>
  <c r="AG10" i="2"/>
  <c r="I534" i="7"/>
  <c r="I264" i="7"/>
  <c r="I184" i="7"/>
  <c r="I454" i="7"/>
  <c r="I614" i="7"/>
  <c r="I204" i="7"/>
  <c r="I854" i="7"/>
  <c r="I954" i="7"/>
  <c r="I574" i="7"/>
  <c r="I734" i="7"/>
  <c r="I904" i="7"/>
  <c r="I10" i="10" l="1"/>
  <c r="K35" i="7"/>
  <c r="M34" i="7"/>
  <c r="K69" i="7"/>
  <c r="K73" i="7" s="1"/>
  <c r="M68" i="7"/>
  <c r="M469" i="7"/>
  <c r="AG11" i="2"/>
  <c r="Q1" i="4"/>
  <c r="I5" i="3"/>
  <c r="G26" i="4"/>
  <c r="K5" i="4"/>
  <c r="K5" i="3"/>
  <c r="L21" i="3"/>
  <c r="M21" i="3" s="1"/>
  <c r="C990" i="7"/>
  <c r="C980" i="7"/>
  <c r="C970" i="7"/>
  <c r="C960" i="7"/>
  <c r="C950" i="7"/>
  <c r="C940" i="7"/>
  <c r="C930" i="7"/>
  <c r="C920" i="7"/>
  <c r="C910" i="7"/>
  <c r="C900" i="7"/>
  <c r="C890" i="7"/>
  <c r="C880" i="7"/>
  <c r="C870" i="7"/>
  <c r="C860" i="7"/>
  <c r="C850" i="7"/>
  <c r="C840" i="7"/>
  <c r="C830" i="7"/>
  <c r="C820" i="7"/>
  <c r="C810" i="7"/>
  <c r="C800" i="7"/>
  <c r="C790" i="7"/>
  <c r="C780" i="7"/>
  <c r="C770" i="7"/>
  <c r="C760" i="7"/>
  <c r="C750" i="7"/>
  <c r="C740" i="7"/>
  <c r="C730" i="7"/>
  <c r="C720" i="7"/>
  <c r="C710" i="7"/>
  <c r="C700" i="7"/>
  <c r="C690" i="7"/>
  <c r="C680" i="7"/>
  <c r="C670" i="7"/>
  <c r="C660" i="7"/>
  <c r="C650" i="7"/>
  <c r="C640" i="7"/>
  <c r="C630" i="7"/>
  <c r="C620" i="7"/>
  <c r="C610" i="7"/>
  <c r="C600" i="7"/>
  <c r="C590" i="7"/>
  <c r="C580" i="7"/>
  <c r="C570" i="7"/>
  <c r="C560" i="7"/>
  <c r="C550" i="7"/>
  <c r="C540" i="7"/>
  <c r="C530" i="7"/>
  <c r="C520" i="7"/>
  <c r="C510" i="7"/>
  <c r="C500" i="7"/>
  <c r="C490" i="7"/>
  <c r="C480" i="7"/>
  <c r="C470" i="7"/>
  <c r="C460" i="7"/>
  <c r="C450" i="7"/>
  <c r="C440" i="7"/>
  <c r="C430" i="7"/>
  <c r="C420" i="7"/>
  <c r="C410" i="7"/>
  <c r="C400" i="7"/>
  <c r="C390" i="7"/>
  <c r="C380" i="7"/>
  <c r="C370" i="7"/>
  <c r="C360" i="7"/>
  <c r="C350" i="7"/>
  <c r="C340" i="7"/>
  <c r="C330" i="7"/>
  <c r="C320" i="7"/>
  <c r="C310" i="7"/>
  <c r="C300" i="7"/>
  <c r="C290" i="7"/>
  <c r="C280" i="7"/>
  <c r="C270" i="7"/>
  <c r="C260" i="7"/>
  <c r="C250" i="7"/>
  <c r="C240" i="7"/>
  <c r="C230" i="7"/>
  <c r="C220" i="7"/>
  <c r="C210" i="7"/>
  <c r="C200" i="7"/>
  <c r="C190" i="7"/>
  <c r="C180" i="7"/>
  <c r="C170" i="7"/>
  <c r="C160" i="7"/>
  <c r="C130" i="7"/>
  <c r="C120" i="7"/>
  <c r="C110" i="7"/>
  <c r="C100" i="7"/>
  <c r="C90" i="7"/>
  <c r="C80" i="7"/>
  <c r="C70" i="7"/>
  <c r="C60" i="7"/>
  <c r="C50" i="7"/>
  <c r="C40" i="7"/>
  <c r="C30" i="7"/>
  <c r="C20" i="7"/>
  <c r="A10" i="7"/>
  <c r="A11" i="7" s="1"/>
  <c r="A12" i="7" s="1"/>
  <c r="A13" i="7" s="1"/>
  <c r="A14" i="7" s="1"/>
  <c r="A15" i="7" s="1"/>
  <c r="A16" i="7" s="1"/>
  <c r="J10" i="7"/>
  <c r="J20" i="7" s="1"/>
  <c r="A21" i="4"/>
  <c r="J5" i="4"/>
  <c r="G5" i="4"/>
  <c r="A5" i="4"/>
  <c r="J5" i="3"/>
  <c r="AA104" i="2"/>
  <c r="Y104" i="2"/>
  <c r="X104" i="2"/>
  <c r="W104" i="2"/>
  <c r="V104" i="2"/>
  <c r="U104" i="2"/>
  <c r="T104" i="2"/>
  <c r="AA103" i="2"/>
  <c r="Y103" i="2"/>
  <c r="X103" i="2"/>
  <c r="W103" i="2"/>
  <c r="V103" i="2"/>
  <c r="U103" i="2"/>
  <c r="T103" i="2"/>
  <c r="AA102" i="2"/>
  <c r="Y102" i="2"/>
  <c r="X102" i="2"/>
  <c r="W102" i="2"/>
  <c r="V102" i="2"/>
  <c r="U102" i="2"/>
  <c r="T102" i="2"/>
  <c r="AA101" i="2"/>
  <c r="Y101" i="2"/>
  <c r="X101" i="2"/>
  <c r="W101" i="2"/>
  <c r="V101" i="2"/>
  <c r="U101" i="2"/>
  <c r="T101" i="2"/>
  <c r="AA100" i="2"/>
  <c r="Y100" i="2"/>
  <c r="X100" i="2"/>
  <c r="W100" i="2"/>
  <c r="V100" i="2"/>
  <c r="U100" i="2"/>
  <c r="T100" i="2"/>
  <c r="AA99" i="2"/>
  <c r="Y99" i="2"/>
  <c r="X99" i="2"/>
  <c r="W99" i="2"/>
  <c r="V99" i="2"/>
  <c r="U99" i="2"/>
  <c r="T99" i="2"/>
  <c r="AA98" i="2"/>
  <c r="Y98" i="2"/>
  <c r="X98" i="2"/>
  <c r="W98" i="2"/>
  <c r="V98" i="2"/>
  <c r="U98" i="2"/>
  <c r="T98" i="2"/>
  <c r="AA97" i="2"/>
  <c r="Y97" i="2"/>
  <c r="X97" i="2"/>
  <c r="W97" i="2"/>
  <c r="V97" i="2"/>
  <c r="U97" i="2"/>
  <c r="T97" i="2"/>
  <c r="AA96" i="2"/>
  <c r="Y96" i="2"/>
  <c r="X96" i="2"/>
  <c r="W96" i="2"/>
  <c r="V96" i="2"/>
  <c r="U96" i="2"/>
  <c r="T96" i="2"/>
  <c r="AA95" i="2"/>
  <c r="Y95" i="2"/>
  <c r="X95" i="2"/>
  <c r="W95" i="2"/>
  <c r="V95" i="2"/>
  <c r="U95" i="2"/>
  <c r="T95" i="2"/>
  <c r="AA94" i="2"/>
  <c r="Y94" i="2"/>
  <c r="X94" i="2"/>
  <c r="W94" i="2"/>
  <c r="V94" i="2"/>
  <c r="U94" i="2"/>
  <c r="T94" i="2"/>
  <c r="AA93" i="2"/>
  <c r="Y93" i="2"/>
  <c r="X93" i="2"/>
  <c r="W93" i="2"/>
  <c r="V93" i="2"/>
  <c r="U93" i="2"/>
  <c r="T93" i="2"/>
  <c r="AA92" i="2"/>
  <c r="Y92" i="2"/>
  <c r="X92" i="2"/>
  <c r="W92" i="2"/>
  <c r="V92" i="2"/>
  <c r="U92" i="2"/>
  <c r="T92" i="2"/>
  <c r="AA91" i="2"/>
  <c r="Y91" i="2"/>
  <c r="X91" i="2"/>
  <c r="W91" i="2"/>
  <c r="V91" i="2"/>
  <c r="U91" i="2"/>
  <c r="T91" i="2"/>
  <c r="AA90" i="2"/>
  <c r="Y90" i="2"/>
  <c r="X90" i="2"/>
  <c r="W90" i="2"/>
  <c r="V90" i="2"/>
  <c r="U90" i="2"/>
  <c r="T90" i="2"/>
  <c r="AA89" i="2"/>
  <c r="Y89" i="2"/>
  <c r="X89" i="2"/>
  <c r="W89" i="2"/>
  <c r="V89" i="2"/>
  <c r="U89" i="2"/>
  <c r="T89" i="2"/>
  <c r="AA88" i="2"/>
  <c r="Y88" i="2"/>
  <c r="X88" i="2"/>
  <c r="W88" i="2"/>
  <c r="V88" i="2"/>
  <c r="U88" i="2"/>
  <c r="T88" i="2"/>
  <c r="AA87" i="2"/>
  <c r="Y87" i="2"/>
  <c r="X87" i="2"/>
  <c r="W87" i="2"/>
  <c r="V87" i="2"/>
  <c r="U87" i="2"/>
  <c r="T87" i="2"/>
  <c r="AA86" i="2"/>
  <c r="Y86" i="2"/>
  <c r="X86" i="2"/>
  <c r="W86" i="2"/>
  <c r="V86" i="2"/>
  <c r="U86" i="2"/>
  <c r="T86" i="2"/>
  <c r="AA85" i="2"/>
  <c r="Y85" i="2"/>
  <c r="X85" i="2"/>
  <c r="W85" i="2"/>
  <c r="V85" i="2"/>
  <c r="U85" i="2"/>
  <c r="T85" i="2"/>
  <c r="AA84" i="2"/>
  <c r="Y84" i="2"/>
  <c r="X84" i="2"/>
  <c r="W84" i="2"/>
  <c r="V84" i="2"/>
  <c r="U84" i="2"/>
  <c r="T84" i="2"/>
  <c r="AA83" i="2"/>
  <c r="Y83" i="2"/>
  <c r="X83" i="2"/>
  <c r="W83" i="2"/>
  <c r="V83" i="2"/>
  <c r="U83" i="2"/>
  <c r="T83" i="2"/>
  <c r="AA82" i="2"/>
  <c r="Y82" i="2"/>
  <c r="X82" i="2"/>
  <c r="W82" i="2"/>
  <c r="V82" i="2"/>
  <c r="U82" i="2"/>
  <c r="T82" i="2"/>
  <c r="AA81" i="2"/>
  <c r="Y81" i="2"/>
  <c r="X81" i="2"/>
  <c r="W81" i="2"/>
  <c r="V81" i="2"/>
  <c r="U81" i="2"/>
  <c r="T81" i="2"/>
  <c r="AA80" i="2"/>
  <c r="Y80" i="2"/>
  <c r="X80" i="2"/>
  <c r="W80" i="2"/>
  <c r="V80" i="2"/>
  <c r="U80" i="2"/>
  <c r="T80" i="2"/>
  <c r="AA79" i="2"/>
  <c r="Y79" i="2"/>
  <c r="X79" i="2"/>
  <c r="W79" i="2"/>
  <c r="V79" i="2"/>
  <c r="U79" i="2"/>
  <c r="T79" i="2"/>
  <c r="AA78" i="2"/>
  <c r="Y78" i="2"/>
  <c r="X78" i="2"/>
  <c r="W78" i="2"/>
  <c r="V78" i="2"/>
  <c r="U78" i="2"/>
  <c r="T78" i="2"/>
  <c r="AA77" i="2"/>
  <c r="Y77" i="2"/>
  <c r="X77" i="2"/>
  <c r="W77" i="2"/>
  <c r="V77" i="2"/>
  <c r="U77" i="2"/>
  <c r="T77" i="2"/>
  <c r="AA76" i="2"/>
  <c r="Y76" i="2"/>
  <c r="X76" i="2"/>
  <c r="W76" i="2"/>
  <c r="V76" i="2"/>
  <c r="U76" i="2"/>
  <c r="T76" i="2"/>
  <c r="AA75" i="2"/>
  <c r="Y75" i="2"/>
  <c r="X75" i="2"/>
  <c r="W75" i="2"/>
  <c r="V75" i="2"/>
  <c r="U75" i="2"/>
  <c r="T75" i="2"/>
  <c r="AA74" i="2"/>
  <c r="Y74" i="2"/>
  <c r="X74" i="2"/>
  <c r="W74" i="2"/>
  <c r="V74" i="2"/>
  <c r="U74" i="2"/>
  <c r="T74" i="2"/>
  <c r="AA73" i="2"/>
  <c r="Y73" i="2"/>
  <c r="X73" i="2"/>
  <c r="W73" i="2"/>
  <c r="V73" i="2"/>
  <c r="U73" i="2"/>
  <c r="T73" i="2"/>
  <c r="AA72" i="2"/>
  <c r="Y72" i="2"/>
  <c r="X72" i="2"/>
  <c r="W72" i="2"/>
  <c r="V72" i="2"/>
  <c r="U72" i="2"/>
  <c r="T72" i="2"/>
  <c r="AA71" i="2"/>
  <c r="Y71" i="2"/>
  <c r="X71" i="2"/>
  <c r="W71" i="2"/>
  <c r="V71" i="2"/>
  <c r="U71" i="2"/>
  <c r="T71" i="2"/>
  <c r="AA70" i="2"/>
  <c r="Y70" i="2"/>
  <c r="X70" i="2"/>
  <c r="W70" i="2"/>
  <c r="V70" i="2"/>
  <c r="U70" i="2"/>
  <c r="T70" i="2"/>
  <c r="AA69" i="2"/>
  <c r="Y69" i="2"/>
  <c r="X69" i="2"/>
  <c r="W69" i="2"/>
  <c r="V69" i="2"/>
  <c r="U69" i="2"/>
  <c r="T69" i="2"/>
  <c r="AA68" i="2"/>
  <c r="Y68" i="2"/>
  <c r="X68" i="2"/>
  <c r="W68" i="2"/>
  <c r="V68" i="2"/>
  <c r="U68" i="2"/>
  <c r="T68" i="2"/>
  <c r="AA67" i="2"/>
  <c r="Y67" i="2"/>
  <c r="X67" i="2"/>
  <c r="W67" i="2"/>
  <c r="V67" i="2"/>
  <c r="U67" i="2"/>
  <c r="T67" i="2"/>
  <c r="AA66" i="2"/>
  <c r="Y66" i="2"/>
  <c r="X66" i="2"/>
  <c r="W66" i="2"/>
  <c r="V66" i="2"/>
  <c r="U66" i="2"/>
  <c r="T66" i="2"/>
  <c r="AA65" i="2"/>
  <c r="Y65" i="2"/>
  <c r="X65" i="2"/>
  <c r="W65" i="2"/>
  <c r="V65" i="2"/>
  <c r="U65" i="2"/>
  <c r="T65" i="2"/>
  <c r="AA64" i="2"/>
  <c r="Y64" i="2"/>
  <c r="X64" i="2"/>
  <c r="W64" i="2"/>
  <c r="V64" i="2"/>
  <c r="U64" i="2"/>
  <c r="T64" i="2"/>
  <c r="AA63" i="2"/>
  <c r="Y63" i="2"/>
  <c r="X63" i="2"/>
  <c r="W63" i="2"/>
  <c r="V63" i="2"/>
  <c r="U63" i="2"/>
  <c r="T63" i="2"/>
  <c r="AA62" i="2"/>
  <c r="Y62" i="2"/>
  <c r="X62" i="2"/>
  <c r="W62" i="2"/>
  <c r="V62" i="2"/>
  <c r="U62" i="2"/>
  <c r="T62" i="2"/>
  <c r="AA61" i="2"/>
  <c r="Y61" i="2"/>
  <c r="X61" i="2"/>
  <c r="W61" i="2"/>
  <c r="V61" i="2"/>
  <c r="U61" i="2"/>
  <c r="T61" i="2"/>
  <c r="AA60" i="2"/>
  <c r="Y60" i="2"/>
  <c r="X60" i="2"/>
  <c r="W60" i="2"/>
  <c r="V60" i="2"/>
  <c r="U60" i="2"/>
  <c r="T60" i="2"/>
  <c r="AA59" i="2"/>
  <c r="Y59" i="2"/>
  <c r="X59" i="2"/>
  <c r="W59" i="2"/>
  <c r="V59" i="2"/>
  <c r="U59" i="2"/>
  <c r="T59" i="2"/>
  <c r="AA58" i="2"/>
  <c r="Y58" i="2"/>
  <c r="X58" i="2"/>
  <c r="W58" i="2"/>
  <c r="V58" i="2"/>
  <c r="U58" i="2"/>
  <c r="T58" i="2"/>
  <c r="AA57" i="2"/>
  <c r="Y57" i="2"/>
  <c r="X57" i="2"/>
  <c r="W57" i="2"/>
  <c r="V57" i="2"/>
  <c r="U57" i="2"/>
  <c r="T57" i="2"/>
  <c r="AA56" i="2"/>
  <c r="Y56" i="2"/>
  <c r="X56" i="2"/>
  <c r="W56" i="2"/>
  <c r="V56" i="2"/>
  <c r="U56" i="2"/>
  <c r="T56" i="2"/>
  <c r="AA55" i="2"/>
  <c r="Y55" i="2"/>
  <c r="X55" i="2"/>
  <c r="W55" i="2"/>
  <c r="V55" i="2"/>
  <c r="U55" i="2"/>
  <c r="T55" i="2"/>
  <c r="AA54" i="2"/>
  <c r="Y54" i="2"/>
  <c r="X54" i="2"/>
  <c r="W54" i="2"/>
  <c r="V54" i="2"/>
  <c r="U54" i="2"/>
  <c r="T54" i="2"/>
  <c r="AA53" i="2"/>
  <c r="Y53" i="2"/>
  <c r="X53" i="2"/>
  <c r="W53" i="2"/>
  <c r="V53" i="2"/>
  <c r="U53" i="2"/>
  <c r="T53" i="2"/>
  <c r="AA52" i="2"/>
  <c r="Y52" i="2"/>
  <c r="X52" i="2"/>
  <c r="W52" i="2"/>
  <c r="V52" i="2"/>
  <c r="U52" i="2"/>
  <c r="T52" i="2"/>
  <c r="AA51" i="2"/>
  <c r="Y51" i="2"/>
  <c r="X51" i="2"/>
  <c r="W51" i="2"/>
  <c r="V51" i="2"/>
  <c r="U51" i="2"/>
  <c r="T51" i="2"/>
  <c r="AA50" i="2"/>
  <c r="Y50" i="2"/>
  <c r="X50" i="2"/>
  <c r="W50" i="2"/>
  <c r="V50" i="2"/>
  <c r="U50" i="2"/>
  <c r="T50" i="2"/>
  <c r="AA49" i="2"/>
  <c r="Y49" i="2"/>
  <c r="X49" i="2"/>
  <c r="W49" i="2"/>
  <c r="V49" i="2"/>
  <c r="U49" i="2"/>
  <c r="T49" i="2"/>
  <c r="AA48" i="2"/>
  <c r="Y48" i="2"/>
  <c r="X48" i="2"/>
  <c r="W48" i="2"/>
  <c r="V48" i="2"/>
  <c r="U48" i="2"/>
  <c r="T48" i="2"/>
  <c r="AA47" i="2"/>
  <c r="Y47" i="2"/>
  <c r="X47" i="2"/>
  <c r="W47" i="2"/>
  <c r="V47" i="2"/>
  <c r="U47" i="2"/>
  <c r="T47" i="2"/>
  <c r="AA46" i="2"/>
  <c r="Y46" i="2"/>
  <c r="X46" i="2"/>
  <c r="W46" i="2"/>
  <c r="V46" i="2"/>
  <c r="U46" i="2"/>
  <c r="T46" i="2"/>
  <c r="AA45" i="2"/>
  <c r="Y45" i="2"/>
  <c r="X45" i="2"/>
  <c r="W45" i="2"/>
  <c r="V45" i="2"/>
  <c r="U45" i="2"/>
  <c r="T45" i="2"/>
  <c r="AA44" i="2"/>
  <c r="Y44" i="2"/>
  <c r="X44" i="2"/>
  <c r="W44" i="2"/>
  <c r="V44" i="2"/>
  <c r="U44" i="2"/>
  <c r="T44" i="2"/>
  <c r="AA43" i="2"/>
  <c r="Y43" i="2"/>
  <c r="X43" i="2"/>
  <c r="W43" i="2"/>
  <c r="V43" i="2"/>
  <c r="U43" i="2"/>
  <c r="T43" i="2"/>
  <c r="AA42" i="2"/>
  <c r="Y42" i="2"/>
  <c r="X42" i="2"/>
  <c r="W42" i="2"/>
  <c r="V42" i="2"/>
  <c r="U42" i="2"/>
  <c r="T42" i="2"/>
  <c r="AA41" i="2"/>
  <c r="Y41" i="2"/>
  <c r="X41" i="2"/>
  <c r="W41" i="2"/>
  <c r="V41" i="2"/>
  <c r="U41" i="2"/>
  <c r="T41" i="2"/>
  <c r="AA40" i="2"/>
  <c r="Y40" i="2"/>
  <c r="X40" i="2"/>
  <c r="W40" i="2"/>
  <c r="V40" i="2"/>
  <c r="U40" i="2"/>
  <c r="T40" i="2"/>
  <c r="AA39" i="2"/>
  <c r="Y39" i="2"/>
  <c r="X39" i="2"/>
  <c r="W39" i="2"/>
  <c r="V39" i="2"/>
  <c r="U39" i="2"/>
  <c r="T39" i="2"/>
  <c r="AA38" i="2"/>
  <c r="Y38" i="2"/>
  <c r="X38" i="2"/>
  <c r="W38" i="2"/>
  <c r="V38" i="2"/>
  <c r="U38" i="2"/>
  <c r="T38" i="2"/>
  <c r="AA37" i="2"/>
  <c r="Y37" i="2"/>
  <c r="X37" i="2"/>
  <c r="W37" i="2"/>
  <c r="V37" i="2"/>
  <c r="U37" i="2"/>
  <c r="T37" i="2"/>
  <c r="AA36" i="2"/>
  <c r="Y36" i="2"/>
  <c r="X36" i="2"/>
  <c r="W36" i="2"/>
  <c r="V36" i="2"/>
  <c r="U36" i="2"/>
  <c r="T36" i="2"/>
  <c r="AA35" i="2"/>
  <c r="Y35" i="2"/>
  <c r="X35" i="2"/>
  <c r="W35" i="2"/>
  <c r="V35" i="2"/>
  <c r="U35" i="2"/>
  <c r="T35" i="2"/>
  <c r="AA34" i="2"/>
  <c r="Y34" i="2"/>
  <c r="X34" i="2"/>
  <c r="W34" i="2"/>
  <c r="V34" i="2"/>
  <c r="U34" i="2"/>
  <c r="T34" i="2"/>
  <c r="AA33" i="2"/>
  <c r="Y33" i="2"/>
  <c r="X33" i="2"/>
  <c r="W33" i="2"/>
  <c r="V33" i="2"/>
  <c r="U33" i="2"/>
  <c r="T33" i="2"/>
  <c r="AA32" i="2"/>
  <c r="Y32" i="2"/>
  <c r="X32" i="2"/>
  <c r="W32" i="2"/>
  <c r="V32" i="2"/>
  <c r="U32" i="2"/>
  <c r="T32" i="2"/>
  <c r="AA31" i="2"/>
  <c r="Y31" i="2"/>
  <c r="X31" i="2"/>
  <c r="W31" i="2"/>
  <c r="V31" i="2"/>
  <c r="U31" i="2"/>
  <c r="T31" i="2"/>
  <c r="AA30" i="2"/>
  <c r="Y30" i="2"/>
  <c r="X30" i="2"/>
  <c r="W30" i="2"/>
  <c r="V30" i="2"/>
  <c r="U30" i="2"/>
  <c r="T30" i="2"/>
  <c r="AA29" i="2"/>
  <c r="Y29" i="2"/>
  <c r="X29" i="2"/>
  <c r="W29" i="2"/>
  <c r="V29" i="2"/>
  <c r="U29" i="2"/>
  <c r="T29" i="2"/>
  <c r="AA28" i="2"/>
  <c r="Y28" i="2"/>
  <c r="X28" i="2"/>
  <c r="W28" i="2"/>
  <c r="V28" i="2"/>
  <c r="U28" i="2"/>
  <c r="T28" i="2"/>
  <c r="AA27" i="2"/>
  <c r="Y27" i="2"/>
  <c r="X27" i="2"/>
  <c r="W27" i="2"/>
  <c r="V27" i="2"/>
  <c r="U27" i="2"/>
  <c r="T27" i="2"/>
  <c r="AA26" i="2"/>
  <c r="Y26" i="2"/>
  <c r="X26" i="2"/>
  <c r="W26" i="2"/>
  <c r="V26" i="2"/>
  <c r="U26" i="2"/>
  <c r="T26" i="2"/>
  <c r="AA25" i="2"/>
  <c r="Y25" i="2"/>
  <c r="X25" i="2"/>
  <c r="W25" i="2"/>
  <c r="V25" i="2"/>
  <c r="U25" i="2"/>
  <c r="T25" i="2"/>
  <c r="AA24" i="2"/>
  <c r="Y24" i="2"/>
  <c r="X24" i="2"/>
  <c r="W24" i="2"/>
  <c r="V24" i="2"/>
  <c r="U24" i="2"/>
  <c r="T24" i="2"/>
  <c r="AA23" i="2"/>
  <c r="Y23" i="2"/>
  <c r="X23" i="2"/>
  <c r="W23" i="2"/>
  <c r="V23" i="2"/>
  <c r="U23" i="2"/>
  <c r="T23" i="2"/>
  <c r="AA22" i="2"/>
  <c r="Y22" i="2"/>
  <c r="X22" i="2"/>
  <c r="W22" i="2"/>
  <c r="V22" i="2"/>
  <c r="U22" i="2"/>
  <c r="T22" i="2"/>
  <c r="AA21" i="2"/>
  <c r="Y21" i="2"/>
  <c r="X21" i="2"/>
  <c r="W21" i="2"/>
  <c r="V21" i="2"/>
  <c r="U21" i="2"/>
  <c r="T21" i="2"/>
  <c r="AA20" i="2"/>
  <c r="Y20" i="2"/>
  <c r="X20" i="2"/>
  <c r="W20" i="2"/>
  <c r="V20" i="2"/>
  <c r="U20" i="2"/>
  <c r="T20" i="2"/>
  <c r="AA19" i="2"/>
  <c r="Y19" i="2"/>
  <c r="X19" i="2"/>
  <c r="W19" i="2"/>
  <c r="V19" i="2"/>
  <c r="U19" i="2"/>
  <c r="T19" i="2"/>
  <c r="AA18" i="2"/>
  <c r="Y18" i="2"/>
  <c r="X18" i="2"/>
  <c r="W18" i="2"/>
  <c r="V18" i="2"/>
  <c r="U18" i="2"/>
  <c r="T18" i="2"/>
  <c r="AA17" i="2"/>
  <c r="Y17" i="2"/>
  <c r="X17" i="2"/>
  <c r="W17" i="2"/>
  <c r="V17" i="2"/>
  <c r="U17" i="2"/>
  <c r="T17" i="2"/>
  <c r="AA16" i="2"/>
  <c r="Y16" i="2"/>
  <c r="X16" i="2"/>
  <c r="W16" i="2"/>
  <c r="V16" i="2"/>
  <c r="U16" i="2"/>
  <c r="T16" i="2"/>
  <c r="AA15" i="2"/>
  <c r="Y15" i="2"/>
  <c r="X15" i="2"/>
  <c r="W15" i="2"/>
  <c r="V15" i="2"/>
  <c r="U15" i="2"/>
  <c r="T15" i="2"/>
  <c r="AA14" i="2"/>
  <c r="Y14" i="2"/>
  <c r="X14" i="2"/>
  <c r="W14" i="2"/>
  <c r="V14" i="2"/>
  <c r="U14" i="2"/>
  <c r="T14" i="2"/>
  <c r="AA13" i="2"/>
  <c r="Y13" i="2"/>
  <c r="X13" i="2"/>
  <c r="W13" i="2"/>
  <c r="V13" i="2"/>
  <c r="U13" i="2"/>
  <c r="T13" i="2"/>
  <c r="AA12" i="2"/>
  <c r="Y12" i="2"/>
  <c r="X12" i="2"/>
  <c r="W12" i="2"/>
  <c r="V12" i="2"/>
  <c r="U12" i="2"/>
  <c r="T12" i="2"/>
  <c r="AA11" i="2"/>
  <c r="Y11" i="2"/>
  <c r="X11" i="2"/>
  <c r="W11" i="2"/>
  <c r="V11" i="2"/>
  <c r="U11" i="2"/>
  <c r="T11" i="2"/>
  <c r="Y10" i="2"/>
  <c r="X10" i="2"/>
  <c r="W10" i="2"/>
  <c r="V10" i="2"/>
  <c r="U10" i="2"/>
  <c r="T10" i="2"/>
  <c r="Y9" i="2"/>
  <c r="X9" i="2"/>
  <c r="W9" i="2"/>
  <c r="V9" i="2"/>
  <c r="U9" i="2"/>
  <c r="T9" i="2"/>
  <c r="Y8" i="2"/>
  <c r="X8" i="2"/>
  <c r="W8" i="2"/>
  <c r="V8" i="2"/>
  <c r="U8" i="2"/>
  <c r="T8" i="2"/>
  <c r="Y7" i="2"/>
  <c r="X7" i="2"/>
  <c r="W7" i="2"/>
  <c r="V7" i="2"/>
  <c r="U7" i="2"/>
  <c r="T7" i="2"/>
  <c r="AA6" i="2"/>
  <c r="Y6" i="2"/>
  <c r="X6" i="2"/>
  <c r="W6" i="2"/>
  <c r="V6" i="2"/>
  <c r="U6" i="2"/>
  <c r="T6" i="2"/>
  <c r="Y5" i="2"/>
  <c r="X5" i="2"/>
  <c r="W5" i="2"/>
  <c r="Y4" i="2"/>
  <c r="X4" i="2"/>
  <c r="W4" i="2"/>
  <c r="O5" i="3" l="1"/>
  <c r="O4" i="3"/>
  <c r="Q13" i="3" s="1"/>
  <c r="P4" i="4"/>
  <c r="C13" i="4" s="1"/>
  <c r="T4" i="4" s="1"/>
  <c r="Q2" i="4"/>
  <c r="K75" i="7"/>
  <c r="M74" i="7"/>
  <c r="K37" i="7"/>
  <c r="M36" i="7"/>
  <c r="J30" i="7"/>
  <c r="M479" i="7"/>
  <c r="A17" i="7"/>
  <c r="A18" i="7" s="1"/>
  <c r="A19" i="7" s="1"/>
  <c r="A20" i="7" s="1"/>
  <c r="A21" i="7" s="1"/>
  <c r="A22" i="7" s="1"/>
  <c r="A23" i="7" s="1"/>
  <c r="A24" i="7" s="1"/>
  <c r="A25" i="7" s="1"/>
  <c r="A26" i="7" s="1"/>
  <c r="B25" i="7" s="1"/>
  <c r="B15" i="7"/>
  <c r="Q10" i="2"/>
  <c r="R76" i="2"/>
  <c r="Q7" i="2"/>
  <c r="R6" i="2"/>
  <c r="Q76" i="2"/>
  <c r="Q78" i="2"/>
  <c r="Q80" i="2"/>
  <c r="R7" i="2"/>
  <c r="S41" i="2"/>
  <c r="S63" i="2"/>
  <c r="S64" i="2"/>
  <c r="AG12" i="2"/>
  <c r="Q6" i="2"/>
  <c r="Q29" i="2"/>
  <c r="Q52" i="2"/>
  <c r="Q55" i="2"/>
  <c r="Q58" i="2"/>
  <c r="Q59" i="2"/>
  <c r="Q61" i="2"/>
  <c r="Q62" i="2"/>
  <c r="Q63" i="2"/>
  <c r="Q68" i="2"/>
  <c r="R58" i="2"/>
  <c r="R59" i="2"/>
  <c r="R61" i="2"/>
  <c r="R63" i="2"/>
  <c r="R65" i="2"/>
  <c r="R74" i="2"/>
  <c r="R10" i="2"/>
  <c r="R13" i="2"/>
  <c r="R17" i="2"/>
  <c r="R23" i="2"/>
  <c r="R26" i="2"/>
  <c r="S7" i="2"/>
  <c r="S9" i="2"/>
  <c r="S11" i="2"/>
  <c r="A2" i="4"/>
  <c r="S46" i="2"/>
  <c r="S51" i="2"/>
  <c r="S52" i="2"/>
  <c r="S53" i="2"/>
  <c r="S76" i="2"/>
  <c r="S78" i="2"/>
  <c r="S79" i="2"/>
  <c r="R80" i="2"/>
  <c r="R81" i="2"/>
  <c r="R89" i="2"/>
  <c r="Q90" i="2"/>
  <c r="Q95" i="2"/>
  <c r="Q104" i="2"/>
  <c r="R28" i="2"/>
  <c r="R40" i="2"/>
  <c r="Q41" i="2"/>
  <c r="Q45" i="2"/>
  <c r="Q51" i="2"/>
  <c r="Q94" i="2"/>
  <c r="Q97" i="2"/>
  <c r="S31" i="2"/>
  <c r="S35" i="2"/>
  <c r="S37" i="2"/>
  <c r="R50" i="2"/>
  <c r="R67" i="2"/>
  <c r="Q103" i="2"/>
  <c r="Q98" i="2"/>
  <c r="Q99" i="2"/>
  <c r="S90" i="2"/>
  <c r="S91" i="2"/>
  <c r="S92" i="2"/>
  <c r="S93" i="2"/>
  <c r="R103" i="2"/>
  <c r="S97" i="2"/>
  <c r="S100" i="2"/>
  <c r="S101" i="2"/>
  <c r="Q30" i="2"/>
  <c r="S55" i="2"/>
  <c r="S57" i="2"/>
  <c r="R29" i="2"/>
  <c r="Q70" i="2"/>
  <c r="Q73" i="2"/>
  <c r="S96" i="2"/>
  <c r="S29" i="2"/>
  <c r="S65" i="2"/>
  <c r="S66" i="2"/>
  <c r="S67" i="2"/>
  <c r="R68" i="2"/>
  <c r="R72" i="2"/>
  <c r="R88" i="2"/>
  <c r="Q89" i="2"/>
  <c r="S58" i="2"/>
  <c r="Q69" i="2"/>
  <c r="Q72" i="2"/>
  <c r="S94" i="2"/>
  <c r="S95" i="2"/>
  <c r="S18" i="2"/>
  <c r="S19" i="2"/>
  <c r="R22" i="2"/>
  <c r="Q23" i="2"/>
  <c r="R42" i="2"/>
  <c r="R43" i="2"/>
  <c r="R44" i="2"/>
  <c r="Q49" i="2"/>
  <c r="Q57" i="2"/>
  <c r="Q64" i="2"/>
  <c r="S68" i="2"/>
  <c r="S69" i="2"/>
  <c r="S71" i="2"/>
  <c r="Q93" i="2"/>
  <c r="Q31" i="2"/>
  <c r="Q35" i="2"/>
  <c r="R30" i="2"/>
  <c r="Q14" i="2"/>
  <c r="Q15" i="2"/>
  <c r="Q17" i="2"/>
  <c r="Q18" i="2"/>
  <c r="Q19" i="2"/>
  <c r="S21" i="2"/>
  <c r="R24" i="2"/>
  <c r="S42" i="2"/>
  <c r="R45" i="2"/>
  <c r="R47" i="2"/>
  <c r="R79" i="2"/>
  <c r="Q81" i="2"/>
  <c r="Q82" i="2"/>
  <c r="Q83" i="2"/>
  <c r="Q85" i="2"/>
  <c r="Q87" i="2"/>
  <c r="Q88" i="2"/>
  <c r="R92" i="2"/>
  <c r="S17" i="2"/>
  <c r="Q21" i="2"/>
  <c r="S32" i="2"/>
  <c r="S48" i="2"/>
  <c r="S62" i="2"/>
  <c r="R83" i="2"/>
  <c r="S12" i="2"/>
  <c r="R31" i="2"/>
  <c r="R32" i="2"/>
  <c r="R33" i="2"/>
  <c r="R34" i="2"/>
  <c r="S98" i="2"/>
  <c r="R104" i="2"/>
  <c r="S104" i="2"/>
  <c r="S14" i="2"/>
  <c r="Q22" i="2"/>
  <c r="R49" i="2"/>
  <c r="R85" i="2"/>
  <c r="Q11" i="2"/>
  <c r="R20" i="2"/>
  <c r="Q24" i="2"/>
  <c r="Q25" i="2"/>
  <c r="Q36" i="2"/>
  <c r="Q37" i="2"/>
  <c r="Q39" i="2"/>
  <c r="Q40" i="2"/>
  <c r="S50" i="2"/>
  <c r="R56" i="2"/>
  <c r="R57" i="2"/>
  <c r="R64" i="2"/>
  <c r="Q74" i="2"/>
  <c r="R78" i="2"/>
  <c r="S82" i="2"/>
  <c r="Q20" i="2"/>
  <c r="S33" i="2"/>
  <c r="R82" i="2"/>
  <c r="S20" i="2"/>
  <c r="Q26" i="2"/>
  <c r="Q27" i="2"/>
  <c r="R36" i="2"/>
  <c r="R46" i="2"/>
  <c r="Q53" i="2"/>
  <c r="Q66" i="2"/>
  <c r="Q67" i="2"/>
  <c r="Q71" i="2"/>
  <c r="Q75" i="2"/>
  <c r="Q91" i="2"/>
  <c r="R94" i="2"/>
  <c r="Q100" i="2"/>
  <c r="Q102" i="2"/>
  <c r="S13" i="2"/>
  <c r="S16" i="2"/>
  <c r="R19" i="2"/>
  <c r="S61" i="2"/>
  <c r="Q8" i="2"/>
  <c r="Q9" i="2"/>
  <c r="S24" i="2"/>
  <c r="S25" i="2"/>
  <c r="Q32" i="2"/>
  <c r="S36" i="2"/>
  <c r="Q42" i="2"/>
  <c r="Q43" i="2"/>
  <c r="Q44" i="2"/>
  <c r="R52" i="2"/>
  <c r="Q56" i="2"/>
  <c r="S70" i="2"/>
  <c r="R71" i="2"/>
  <c r="Q79" i="2"/>
  <c r="S89" i="2"/>
  <c r="R91" i="2"/>
  <c r="R99" i="2"/>
  <c r="R100" i="2"/>
  <c r="R102" i="2"/>
  <c r="R15" i="2"/>
  <c r="Q48" i="2"/>
  <c r="Q54" i="2"/>
  <c r="R60" i="2"/>
  <c r="R66" i="2"/>
  <c r="Q84" i="2"/>
  <c r="R96" i="2"/>
  <c r="R9" i="2"/>
  <c r="Q13" i="2"/>
  <c r="S15" i="2"/>
  <c r="R16" i="2"/>
  <c r="S23" i="2"/>
  <c r="R25" i="2"/>
  <c r="R35" i="2"/>
  <c r="Q38" i="2"/>
  <c r="Q47" i="2"/>
  <c r="R48" i="2"/>
  <c r="R51" i="2"/>
  <c r="R54" i="2"/>
  <c r="S60" i="2"/>
  <c r="R62" i="2"/>
  <c r="Q65" i="2"/>
  <c r="R84" i="2"/>
  <c r="Q86" i="2"/>
  <c r="R97" i="2"/>
  <c r="S103" i="2"/>
  <c r="R8" i="2"/>
  <c r="R14" i="2"/>
  <c r="Q16" i="2"/>
  <c r="S47" i="2"/>
  <c r="R95" i="2"/>
  <c r="R18" i="2"/>
  <c r="R38" i="2"/>
  <c r="S44" i="2"/>
  <c r="S54" i="2"/>
  <c r="R70" i="2"/>
  <c r="S72" i="2"/>
  <c r="R73" i="2"/>
  <c r="S81" i="2"/>
  <c r="S84" i="2"/>
  <c r="R86" i="2"/>
  <c r="Q92" i="2"/>
  <c r="R98" i="2"/>
  <c r="S6" i="2"/>
  <c r="S34" i="2"/>
  <c r="R77" i="2"/>
  <c r="S26" i="2"/>
  <c r="R27" i="2"/>
  <c r="S30" i="2"/>
  <c r="Q33" i="2"/>
  <c r="Q34" i="2"/>
  <c r="S38" i="2"/>
  <c r="R39" i="2"/>
  <c r="Q46" i="2"/>
  <c r="Q50" i="2"/>
  <c r="R55" i="2"/>
  <c r="S74" i="2"/>
  <c r="R75" i="2"/>
  <c r="S85" i="2"/>
  <c r="S87" i="2"/>
  <c r="Q101" i="2"/>
  <c r="R12" i="2"/>
  <c r="S28" i="2"/>
  <c r="R41" i="2"/>
  <c r="S10" i="2"/>
  <c r="R11" i="2"/>
  <c r="S22" i="2"/>
  <c r="S39" i="2"/>
  <c r="S40" i="2"/>
  <c r="S45" i="2"/>
  <c r="S49" i="2"/>
  <c r="S56" i="2"/>
  <c r="S75" i="2"/>
  <c r="Q77" i="2"/>
  <c r="S80" i="2"/>
  <c r="S88" i="2"/>
  <c r="R90" i="2"/>
  <c r="R93" i="2"/>
  <c r="Q96" i="2"/>
  <c r="S99" i="2"/>
  <c r="R101" i="2"/>
  <c r="B251" i="7"/>
  <c r="B363" i="7"/>
  <c r="B623" i="7"/>
  <c r="B883" i="7"/>
  <c r="B61" i="7"/>
  <c r="B671" i="7"/>
  <c r="B83" i="7"/>
  <c r="B241" i="7"/>
  <c r="B441" i="7"/>
  <c r="B493" i="7"/>
  <c r="B873" i="7"/>
  <c r="B113" i="7"/>
  <c r="B171" i="7"/>
  <c r="B323" i="7"/>
  <c r="B831" i="7"/>
  <c r="B53" i="7"/>
  <c r="B163" i="7"/>
  <c r="B231" i="7"/>
  <c r="B263" i="7"/>
  <c r="B403" i="7"/>
  <c r="B561" i="7"/>
  <c r="B681" i="7"/>
  <c r="B731" i="7"/>
  <c r="B191" i="7"/>
  <c r="B303" i="7"/>
  <c r="B93" i="7"/>
  <c r="B343" i="7"/>
  <c r="B951" i="7"/>
  <c r="B123" i="7"/>
  <c r="B431" i="7"/>
  <c r="B573" i="7"/>
  <c r="B41" i="7"/>
  <c r="B663" i="7"/>
  <c r="B791" i="7"/>
  <c r="B651" i="7"/>
  <c r="B783" i="7"/>
  <c r="B741" i="7"/>
  <c r="B103" i="7"/>
  <c r="B221" i="7"/>
  <c r="B411" i="7"/>
  <c r="B621" i="7"/>
  <c r="B723" i="7"/>
  <c r="B991" i="7"/>
  <c r="B31" i="7"/>
  <c r="B543" i="7"/>
  <c r="B701" i="7"/>
  <c r="B843" i="7"/>
  <c r="B913" i="7"/>
  <c r="B973" i="7"/>
  <c r="B33" i="7"/>
  <c r="R53" i="2"/>
  <c r="B361" i="7"/>
  <c r="R69" i="2"/>
  <c r="S27" i="2"/>
  <c r="Q60" i="2"/>
  <c r="R87" i="2"/>
  <c r="Q12" i="2"/>
  <c r="R21" i="2"/>
  <c r="S43" i="2"/>
  <c r="S102" i="2"/>
  <c r="S8" i="2"/>
  <c r="S86" i="2"/>
  <c r="B121" i="7"/>
  <c r="B161" i="7"/>
  <c r="S73" i="2"/>
  <c r="Q28" i="2"/>
  <c r="R37" i="2"/>
  <c r="S59" i="2"/>
  <c r="S83" i="2"/>
  <c r="B91" i="7"/>
  <c r="B371" i="7"/>
  <c r="B373" i="7"/>
  <c r="B523" i="7"/>
  <c r="B521" i="7"/>
  <c r="B443" i="7"/>
  <c r="B321" i="7"/>
  <c r="B733" i="7"/>
  <c r="B273" i="7"/>
  <c r="B271" i="7"/>
  <c r="S77" i="2"/>
  <c r="B491" i="7"/>
  <c r="B583" i="7"/>
  <c r="B581" i="7"/>
  <c r="B833" i="7"/>
  <c r="B761" i="7"/>
  <c r="B763" i="7"/>
  <c r="B841" i="7"/>
  <c r="B871" i="7"/>
  <c r="B803" i="7"/>
  <c r="B801" i="7"/>
  <c r="B923" i="7"/>
  <c r="B921" i="7"/>
  <c r="R2" i="4" l="1"/>
  <c r="V5" i="4"/>
  <c r="S8" i="4"/>
  <c r="O4" i="4"/>
  <c r="Q14" i="4" s="1"/>
  <c r="K39" i="7"/>
  <c r="K43" i="7" s="1"/>
  <c r="M38" i="7"/>
  <c r="K77" i="7"/>
  <c r="M76" i="7"/>
  <c r="A27" i="7"/>
  <c r="A28" i="7" s="1"/>
  <c r="A29" i="7" s="1"/>
  <c r="A30" i="7" s="1"/>
  <c r="A31" i="7" s="1"/>
  <c r="A32" i="7" s="1"/>
  <c r="A33" i="7" s="1"/>
  <c r="A34" i="7" s="1"/>
  <c r="A35" i="7" s="1"/>
  <c r="A36" i="7" s="1"/>
  <c r="B35" i="7" s="1"/>
  <c r="J40" i="7"/>
  <c r="J50" i="7" s="1"/>
  <c r="J60" i="7" s="1"/>
  <c r="J70" i="7" s="1"/>
  <c r="J80" i="7" s="1"/>
  <c r="J90" i="7" s="1"/>
  <c r="J100" i="7" s="1"/>
  <c r="J110" i="7" s="1"/>
  <c r="J120" i="7" s="1"/>
  <c r="J130" i="7" s="1"/>
  <c r="M489" i="7"/>
  <c r="M499" i="7" s="1"/>
  <c r="O10" i="2"/>
  <c r="N10" i="2" s="1"/>
  <c r="L10" i="2" s="1"/>
  <c r="Z10" i="2" s="1"/>
  <c r="O76" i="2"/>
  <c r="P76" i="2" s="1"/>
  <c r="M76" i="2" s="1"/>
  <c r="O6" i="2"/>
  <c r="P6" i="2" s="1"/>
  <c r="M6" i="2" s="1"/>
  <c r="O68" i="2"/>
  <c r="P68" i="2" s="1"/>
  <c r="M68" i="2" s="1"/>
  <c r="O7" i="2"/>
  <c r="P7" i="2" s="1"/>
  <c r="M7" i="2" s="1"/>
  <c r="O20" i="2"/>
  <c r="P20" i="2" s="1"/>
  <c r="M20" i="2" s="1"/>
  <c r="O63" i="2"/>
  <c r="P63" i="2" s="1"/>
  <c r="M63" i="2" s="1"/>
  <c r="O25" i="2"/>
  <c r="P25" i="2" s="1"/>
  <c r="M25" i="2" s="1"/>
  <c r="O15" i="2"/>
  <c r="N15" i="2" s="1"/>
  <c r="L15" i="2" s="1"/>
  <c r="Z15" i="2" s="1"/>
  <c r="AG13" i="2"/>
  <c r="O52" i="2"/>
  <c r="N52" i="2" s="1"/>
  <c r="L52" i="2" s="1"/>
  <c r="Z52" i="2" s="1"/>
  <c r="O23" i="2"/>
  <c r="K23" i="2" s="1"/>
  <c r="O9" i="2"/>
  <c r="K9" i="2" s="1"/>
  <c r="O37" i="2"/>
  <c r="N37" i="2" s="1"/>
  <c r="L37" i="2" s="1"/>
  <c r="Z37" i="2" s="1"/>
  <c r="O91" i="2"/>
  <c r="K91" i="2" s="1"/>
  <c r="O30" i="2"/>
  <c r="N30" i="2" s="1"/>
  <c r="L30" i="2" s="1"/>
  <c r="Z30" i="2" s="1"/>
  <c r="O59" i="2"/>
  <c r="K59" i="2" s="1"/>
  <c r="O69" i="2"/>
  <c r="P69" i="2" s="1"/>
  <c r="M69" i="2" s="1"/>
  <c r="O41" i="2"/>
  <c r="K41" i="2" s="1"/>
  <c r="O89" i="2"/>
  <c r="K89" i="2" s="1"/>
  <c r="O78" i="2"/>
  <c r="P78" i="2" s="1"/>
  <c r="M78" i="2" s="1"/>
  <c r="O103" i="2"/>
  <c r="K103" i="2" s="1"/>
  <c r="O51" i="2"/>
  <c r="P51" i="2" s="1"/>
  <c r="M51" i="2" s="1"/>
  <c r="O42" i="2"/>
  <c r="P42" i="2" s="1"/>
  <c r="M42" i="2" s="1"/>
  <c r="O17" i="2"/>
  <c r="K17" i="2" s="1"/>
  <c r="O19" i="2"/>
  <c r="P19" i="2" s="1"/>
  <c r="M19" i="2" s="1"/>
  <c r="O58" i="2"/>
  <c r="K58" i="2" s="1"/>
  <c r="O95" i="2"/>
  <c r="P95" i="2" s="1"/>
  <c r="M95" i="2" s="1"/>
  <c r="O26" i="2"/>
  <c r="P26" i="2" s="1"/>
  <c r="M26" i="2" s="1"/>
  <c r="O8" i="2"/>
  <c r="K8" i="2" s="1"/>
  <c r="O45" i="2"/>
  <c r="P45" i="2" s="1"/>
  <c r="M45" i="2" s="1"/>
  <c r="O27" i="2"/>
  <c r="K27" i="2" s="1"/>
  <c r="O12" i="2"/>
  <c r="P12" i="2" s="1"/>
  <c r="M12" i="2" s="1"/>
  <c r="O53" i="2"/>
  <c r="N53" i="2" s="1"/>
  <c r="L53" i="2" s="1"/>
  <c r="Z53" i="2" s="1"/>
  <c r="O99" i="2"/>
  <c r="N99" i="2" s="1"/>
  <c r="L99" i="2" s="1"/>
  <c r="Z99" i="2" s="1"/>
  <c r="O61" i="2"/>
  <c r="K61" i="2" s="1"/>
  <c r="O90" i="2"/>
  <c r="K90" i="2" s="1"/>
  <c r="O83" i="2"/>
  <c r="K83" i="2" s="1"/>
  <c r="O73" i="2"/>
  <c r="K73" i="2" s="1"/>
  <c r="O81" i="2"/>
  <c r="K81" i="2" s="1"/>
  <c r="O24" i="2"/>
  <c r="P24" i="2" s="1"/>
  <c r="M24" i="2" s="1"/>
  <c r="O82" i="2"/>
  <c r="P82" i="2" s="1"/>
  <c r="M82" i="2" s="1"/>
  <c r="O32" i="2"/>
  <c r="K32" i="2" s="1"/>
  <c r="O94" i="2"/>
  <c r="N94" i="2" s="1"/>
  <c r="L94" i="2" s="1"/>
  <c r="Z94" i="2" s="1"/>
  <c r="O67" i="2"/>
  <c r="P67" i="2" s="1"/>
  <c r="M67" i="2" s="1"/>
  <c r="O57" i="2"/>
  <c r="P57" i="2" s="1"/>
  <c r="M57" i="2" s="1"/>
  <c r="O55" i="2"/>
  <c r="K55" i="2" s="1"/>
  <c r="O79" i="2"/>
  <c r="P79" i="2" s="1"/>
  <c r="M79" i="2" s="1"/>
  <c r="O65" i="2"/>
  <c r="K65" i="2" s="1"/>
  <c r="O43" i="2"/>
  <c r="P43" i="2" s="1"/>
  <c r="M43" i="2" s="1"/>
  <c r="O93" i="2"/>
  <c r="K93" i="2" s="1"/>
  <c r="O72" i="2"/>
  <c r="K72" i="2" s="1"/>
  <c r="O80" i="2"/>
  <c r="O36" i="2"/>
  <c r="N36" i="2" s="1"/>
  <c r="L36" i="2" s="1"/>
  <c r="Z36" i="2" s="1"/>
  <c r="O71" i="2"/>
  <c r="P71" i="2" s="1"/>
  <c r="M71" i="2" s="1"/>
  <c r="O60" i="2"/>
  <c r="N60" i="2" s="1"/>
  <c r="L60" i="2" s="1"/>
  <c r="Z60" i="2" s="1"/>
  <c r="O18" i="2"/>
  <c r="P18" i="2" s="1"/>
  <c r="M18" i="2" s="1"/>
  <c r="O97" i="2"/>
  <c r="K97" i="2" s="1"/>
  <c r="O29" i="2"/>
  <c r="O101" i="2"/>
  <c r="N101" i="2" s="1"/>
  <c r="L101" i="2" s="1"/>
  <c r="Z101" i="2" s="1"/>
  <c r="O104" i="2"/>
  <c r="K104" i="2" s="1"/>
  <c r="O100" i="2"/>
  <c r="P100" i="2" s="1"/>
  <c r="M100" i="2" s="1"/>
  <c r="O56" i="2"/>
  <c r="K56" i="2" s="1"/>
  <c r="O96" i="2"/>
  <c r="N96" i="2" s="1"/>
  <c r="L96" i="2" s="1"/>
  <c r="Z96" i="2" s="1"/>
  <c r="O102" i="2"/>
  <c r="N102" i="2" s="1"/>
  <c r="L102" i="2" s="1"/>
  <c r="Z102" i="2" s="1"/>
  <c r="O88" i="2"/>
  <c r="N88" i="2" s="1"/>
  <c r="L88" i="2" s="1"/>
  <c r="Z88" i="2" s="1"/>
  <c r="O35" i="2"/>
  <c r="N35" i="2" s="1"/>
  <c r="L35" i="2" s="1"/>
  <c r="Z35" i="2" s="1"/>
  <c r="O22" i="2"/>
  <c r="N22" i="2" s="1"/>
  <c r="L22" i="2" s="1"/>
  <c r="Z22" i="2" s="1"/>
  <c r="O50" i="2"/>
  <c r="N50" i="2" s="1"/>
  <c r="L50" i="2" s="1"/>
  <c r="Z50" i="2" s="1"/>
  <c r="O98" i="2"/>
  <c r="P98" i="2" s="1"/>
  <c r="M98" i="2" s="1"/>
  <c r="O54" i="2"/>
  <c r="P54" i="2" s="1"/>
  <c r="M54" i="2" s="1"/>
  <c r="O14" i="2"/>
  <c r="O62" i="2"/>
  <c r="K62" i="2" s="1"/>
  <c r="O66" i="2"/>
  <c r="N66" i="2" s="1"/>
  <c r="L66" i="2" s="1"/>
  <c r="Z66" i="2" s="1"/>
  <c r="O21" i="2"/>
  <c r="P21" i="2" s="1"/>
  <c r="M21" i="2" s="1"/>
  <c r="O11" i="2"/>
  <c r="O46" i="2"/>
  <c r="O92" i="2"/>
  <c r="K92" i="2" s="1"/>
  <c r="O44" i="2"/>
  <c r="N44" i="2" s="1"/>
  <c r="L44" i="2" s="1"/>
  <c r="Z44" i="2" s="1"/>
  <c r="O64" i="2"/>
  <c r="K64" i="2" s="1"/>
  <c r="O31" i="2"/>
  <c r="O70" i="2"/>
  <c r="N70" i="2" s="1"/>
  <c r="L70" i="2" s="1"/>
  <c r="Z70" i="2" s="1"/>
  <c r="O47" i="2"/>
  <c r="O77" i="2"/>
  <c r="K77" i="2" s="1"/>
  <c r="O49" i="2"/>
  <c r="O38" i="2"/>
  <c r="P38" i="2" s="1"/>
  <c r="M38" i="2" s="1"/>
  <c r="O34" i="2"/>
  <c r="P34" i="2" s="1"/>
  <c r="M34" i="2" s="1"/>
  <c r="O85" i="2"/>
  <c r="O40" i="2"/>
  <c r="K40" i="2" s="1"/>
  <c r="O33" i="2"/>
  <c r="K33" i="2" s="1"/>
  <c r="O39" i="2"/>
  <c r="K39" i="2" s="1"/>
  <c r="O74" i="2"/>
  <c r="K74" i="2" s="1"/>
  <c r="O48" i="2"/>
  <c r="P48" i="2" s="1"/>
  <c r="M48" i="2" s="1"/>
  <c r="O13" i="2"/>
  <c r="P13" i="2" s="1"/>
  <c r="M13" i="2" s="1"/>
  <c r="O86" i="2"/>
  <c r="P86" i="2" s="1"/>
  <c r="M86" i="2" s="1"/>
  <c r="O84" i="2"/>
  <c r="O75" i="2"/>
  <c r="O28" i="2"/>
  <c r="N28" i="2" s="1"/>
  <c r="L28" i="2" s="1"/>
  <c r="Z28" i="2" s="1"/>
  <c r="O87" i="2"/>
  <c r="K87" i="2" s="1"/>
  <c r="O16" i="2"/>
  <c r="B51" i="7"/>
  <c r="B233" i="7"/>
  <c r="B193" i="7"/>
  <c r="B881" i="7"/>
  <c r="B743" i="7"/>
  <c r="B301" i="7"/>
  <c r="B703" i="7"/>
  <c r="B953" i="7"/>
  <c r="B63" i="7"/>
  <c r="B911" i="7"/>
  <c r="B81" i="7"/>
  <c r="B781" i="7"/>
  <c r="B261" i="7"/>
  <c r="B111" i="7"/>
  <c r="B101" i="7"/>
  <c r="B673" i="7"/>
  <c r="B571" i="7"/>
  <c r="B793" i="7"/>
  <c r="B43" i="7"/>
  <c r="B253" i="7"/>
  <c r="B243" i="7"/>
  <c r="B661" i="7"/>
  <c r="B563" i="7"/>
  <c r="B721" i="7"/>
  <c r="B971" i="7"/>
  <c r="B413" i="7"/>
  <c r="B401" i="7"/>
  <c r="B223" i="7"/>
  <c r="B433" i="7"/>
  <c r="B541" i="7"/>
  <c r="B683" i="7"/>
  <c r="B173" i="7"/>
  <c r="B993" i="7"/>
  <c r="B653" i="7"/>
  <c r="B331" i="7"/>
  <c r="B333" i="7"/>
  <c r="B603" i="7"/>
  <c r="B601" i="7"/>
  <c r="B393" i="7"/>
  <c r="B391" i="7"/>
  <c r="B613" i="7"/>
  <c r="B611" i="7"/>
  <c r="B591" i="7"/>
  <c r="B593" i="7"/>
  <c r="B73" i="7"/>
  <c r="B71" i="7"/>
  <c r="B291" i="7"/>
  <c r="B293" i="7"/>
  <c r="B341" i="7"/>
  <c r="B181" i="7"/>
  <c r="B183" i="7"/>
  <c r="B511" i="7"/>
  <c r="B513" i="7"/>
  <c r="B693" i="7"/>
  <c r="B691" i="7"/>
  <c r="B753" i="7"/>
  <c r="B751" i="7"/>
  <c r="B643" i="7"/>
  <c r="B641" i="7"/>
  <c r="B943" i="7"/>
  <c r="B941" i="7"/>
  <c r="B863" i="7"/>
  <c r="B861" i="7"/>
  <c r="B23" i="7"/>
  <c r="B21" i="7"/>
  <c r="J23" i="7" s="1"/>
  <c r="J24" i="7" s="1"/>
  <c r="B961" i="7"/>
  <c r="B963" i="7"/>
  <c r="B631" i="7"/>
  <c r="B633" i="7"/>
  <c r="B773" i="7"/>
  <c r="B771" i="7"/>
  <c r="B201" i="7"/>
  <c r="B203" i="7"/>
  <c r="B423" i="7"/>
  <c r="B421" i="7"/>
  <c r="B311" i="7"/>
  <c r="B313" i="7"/>
  <c r="B213" i="7"/>
  <c r="B211" i="7"/>
  <c r="B711" i="7"/>
  <c r="B713" i="7"/>
  <c r="B283" i="7"/>
  <c r="B281" i="7"/>
  <c r="B133" i="7"/>
  <c r="B131" i="7"/>
  <c r="B551" i="7"/>
  <c r="B553" i="7"/>
  <c r="B503" i="7"/>
  <c r="B501" i="7"/>
  <c r="B381" i="7"/>
  <c r="B383" i="7"/>
  <c r="B481" i="7"/>
  <c r="B483" i="7"/>
  <c r="B823" i="7"/>
  <c r="B821" i="7"/>
  <c r="B813" i="7"/>
  <c r="B811" i="7"/>
  <c r="B353" i="7"/>
  <c r="B351" i="7"/>
  <c r="B853" i="7"/>
  <c r="B851" i="7"/>
  <c r="B531" i="7"/>
  <c r="B533" i="7"/>
  <c r="B983" i="7"/>
  <c r="B981" i="7"/>
  <c r="B931" i="7"/>
  <c r="B933" i="7"/>
  <c r="B893" i="7"/>
  <c r="B891" i="7"/>
  <c r="B903" i="7"/>
  <c r="B901" i="7"/>
  <c r="B463" i="7"/>
  <c r="B461" i="7"/>
  <c r="B453" i="7"/>
  <c r="B451" i="7"/>
  <c r="B471" i="7"/>
  <c r="B473" i="7"/>
  <c r="T5" i="4" l="1"/>
  <c r="T7" i="4"/>
  <c r="Q6" i="4" s="1"/>
  <c r="R14" i="4"/>
  <c r="S33" i="4"/>
  <c r="S34" i="4"/>
  <c r="S32" i="4"/>
  <c r="J140" i="7"/>
  <c r="J150" i="7" s="1"/>
  <c r="J160" i="7" s="1"/>
  <c r="J170" i="7" s="1"/>
  <c r="J180" i="7" s="1"/>
  <c r="J190" i="7" s="1"/>
  <c r="J200" i="7" s="1"/>
  <c r="J210" i="7" s="1"/>
  <c r="J220" i="7" s="1"/>
  <c r="J230" i="7" s="1"/>
  <c r="J240" i="7" s="1"/>
  <c r="J250" i="7" s="1"/>
  <c r="J260" i="7" s="1"/>
  <c r="J270" i="7" s="1"/>
  <c r="J280" i="7" s="1"/>
  <c r="J290" i="7" s="1"/>
  <c r="J300" i="7" s="1"/>
  <c r="J310" i="7" s="1"/>
  <c r="J320" i="7" s="1"/>
  <c r="J330" i="7" s="1"/>
  <c r="J340" i="7" s="1"/>
  <c r="J350" i="7" s="1"/>
  <c r="J360" i="7" s="1"/>
  <c r="J370" i="7" s="1"/>
  <c r="J380" i="7" s="1"/>
  <c r="J390" i="7" s="1"/>
  <c r="J400" i="7" s="1"/>
  <c r="J410" i="7" s="1"/>
  <c r="J420" i="7" s="1"/>
  <c r="J430" i="7" s="1"/>
  <c r="J440" i="7" s="1"/>
  <c r="J450" i="7" s="1"/>
  <c r="J460" i="7" s="1"/>
  <c r="J470" i="7" s="1"/>
  <c r="J480" i="7" s="1"/>
  <c r="J490" i="7" s="1"/>
  <c r="J500" i="7" s="1"/>
  <c r="J510" i="7" s="1"/>
  <c r="K10" i="2"/>
  <c r="P10" i="2"/>
  <c r="M10" i="2" s="1"/>
  <c r="K15" i="2"/>
  <c r="K53" i="2"/>
  <c r="K6" i="2"/>
  <c r="K19" i="2"/>
  <c r="A37" i="7"/>
  <c r="A38" i="7" s="1"/>
  <c r="A39" i="7" s="1"/>
  <c r="A40" i="7" s="1"/>
  <c r="A41" i="7" s="1"/>
  <c r="A42" i="7" s="1"/>
  <c r="A43" i="7" s="1"/>
  <c r="A44" i="7" s="1"/>
  <c r="A45" i="7" s="1"/>
  <c r="A46" i="7" s="1"/>
  <c r="A47" i="7" s="1"/>
  <c r="A48" i="7" s="1"/>
  <c r="A49" i="7" s="1"/>
  <c r="A50" i="7" s="1"/>
  <c r="A51" i="7" s="1"/>
  <c r="A52" i="7" s="1"/>
  <c r="A53" i="7" s="1"/>
  <c r="A54" i="7" s="1"/>
  <c r="A55" i="7" s="1"/>
  <c r="A56" i="7" s="1"/>
  <c r="K79" i="7"/>
  <c r="K83" i="7" s="1"/>
  <c r="M78" i="7"/>
  <c r="K45" i="7"/>
  <c r="M44" i="7"/>
  <c r="J33" i="7"/>
  <c r="J34" i="7" s="1"/>
  <c r="K12" i="2"/>
  <c r="K76" i="2"/>
  <c r="N76" i="2"/>
  <c r="L76" i="2" s="1"/>
  <c r="Z76" i="2" s="1"/>
  <c r="N12" i="2"/>
  <c r="L12" i="2" s="1"/>
  <c r="Z12" i="2" s="1"/>
  <c r="K69" i="2"/>
  <c r="N19" i="2"/>
  <c r="L19" i="2" s="1"/>
  <c r="Z19" i="2" s="1"/>
  <c r="N69" i="2"/>
  <c r="L69" i="2" s="1"/>
  <c r="Z69" i="2" s="1"/>
  <c r="N68" i="2"/>
  <c r="L68" i="2" s="1"/>
  <c r="Z68" i="2" s="1"/>
  <c r="K68" i="2"/>
  <c r="N6" i="2"/>
  <c r="L6" i="2" s="1"/>
  <c r="Z6" i="2" s="1"/>
  <c r="K78" i="2"/>
  <c r="N56" i="2"/>
  <c r="L56" i="2" s="1"/>
  <c r="Z56" i="2" s="1"/>
  <c r="P56" i="2"/>
  <c r="M56" i="2" s="1"/>
  <c r="K37" i="2"/>
  <c r="P37" i="2"/>
  <c r="M37" i="2" s="1"/>
  <c r="N91" i="2"/>
  <c r="L91" i="2" s="1"/>
  <c r="Z91" i="2" s="1"/>
  <c r="K30" i="2"/>
  <c r="P73" i="2"/>
  <c r="M73" i="2" s="1"/>
  <c r="N73" i="2"/>
  <c r="L73" i="2" s="1"/>
  <c r="Z73" i="2" s="1"/>
  <c r="P55" i="2"/>
  <c r="M55" i="2" s="1"/>
  <c r="P92" i="2"/>
  <c r="M92" i="2" s="1"/>
  <c r="N67" i="2"/>
  <c r="L67" i="2" s="1"/>
  <c r="Z67" i="2" s="1"/>
  <c r="K7" i="2"/>
  <c r="P9" i="2"/>
  <c r="M9" i="2" s="1"/>
  <c r="N20" i="2"/>
  <c r="L20" i="2" s="1"/>
  <c r="Z20" i="2" s="1"/>
  <c r="N78" i="2"/>
  <c r="L78" i="2" s="1"/>
  <c r="Z78" i="2" s="1"/>
  <c r="N45" i="2"/>
  <c r="L45" i="2" s="1"/>
  <c r="Z45" i="2" s="1"/>
  <c r="K45" i="2"/>
  <c r="K51" i="2"/>
  <c r="N25" i="2"/>
  <c r="L25" i="2" s="1"/>
  <c r="Z25" i="2" s="1"/>
  <c r="N27" i="2"/>
  <c r="L27" i="2" s="1"/>
  <c r="Z27" i="2" s="1"/>
  <c r="K25" i="2"/>
  <c r="P15" i="2"/>
  <c r="M15" i="2" s="1"/>
  <c r="N42" i="2"/>
  <c r="L42" i="2" s="1"/>
  <c r="Z42" i="2" s="1"/>
  <c r="N51" i="2"/>
  <c r="L51" i="2" s="1"/>
  <c r="Z51" i="2" s="1"/>
  <c r="N9" i="2"/>
  <c r="L9" i="2" s="1"/>
  <c r="Z9" i="2" s="1"/>
  <c r="N7" i="2"/>
  <c r="L7" i="2" s="1"/>
  <c r="Z7" i="2" s="1"/>
  <c r="N8" i="2"/>
  <c r="L8" i="2" s="1"/>
  <c r="Z8" i="2" s="1"/>
  <c r="K43" i="2"/>
  <c r="P91" i="2"/>
  <c r="M91" i="2" s="1"/>
  <c r="N59" i="2"/>
  <c r="L59" i="2" s="1"/>
  <c r="Z59" i="2" s="1"/>
  <c r="N55" i="2"/>
  <c r="L55" i="2" s="1"/>
  <c r="Z55" i="2" s="1"/>
  <c r="K20" i="2"/>
  <c r="K63" i="2"/>
  <c r="N54" i="2"/>
  <c r="L54" i="2" s="1"/>
  <c r="Z54" i="2" s="1"/>
  <c r="N63" i="2"/>
  <c r="L63" i="2" s="1"/>
  <c r="Z63" i="2" s="1"/>
  <c r="P104" i="2"/>
  <c r="M104" i="2" s="1"/>
  <c r="P70" i="2"/>
  <c r="M70" i="2" s="1"/>
  <c r="P27" i="2"/>
  <c r="M27" i="2" s="1"/>
  <c r="K67" i="2"/>
  <c r="P23" i="2"/>
  <c r="M23" i="2" s="1"/>
  <c r="P102" i="2"/>
  <c r="M102" i="2" s="1"/>
  <c r="P59" i="2"/>
  <c r="M59" i="2" s="1"/>
  <c r="K42" i="2"/>
  <c r="N13" i="2"/>
  <c r="L13" i="2" s="1"/>
  <c r="Z13" i="2" s="1"/>
  <c r="P83" i="2"/>
  <c r="M83" i="2" s="1"/>
  <c r="K94" i="2"/>
  <c r="N83" i="2"/>
  <c r="L83" i="2" s="1"/>
  <c r="Z83" i="2" s="1"/>
  <c r="N41" i="2"/>
  <c r="L41" i="2" s="1"/>
  <c r="Z41" i="2" s="1"/>
  <c r="P41" i="2"/>
  <c r="M41" i="2" s="1"/>
  <c r="K52" i="2"/>
  <c r="P94" i="2"/>
  <c r="M94" i="2" s="1"/>
  <c r="K102" i="2"/>
  <c r="N103" i="2"/>
  <c r="L103" i="2" s="1"/>
  <c r="Z103" i="2" s="1"/>
  <c r="P52" i="2"/>
  <c r="M52" i="2" s="1"/>
  <c r="N23" i="2"/>
  <c r="L23" i="2" s="1"/>
  <c r="Z23" i="2" s="1"/>
  <c r="K18" i="2"/>
  <c r="P103" i="2"/>
  <c r="M103" i="2" s="1"/>
  <c r="AG14" i="2"/>
  <c r="N34" i="2"/>
  <c r="L34" i="2" s="1"/>
  <c r="Z34" i="2" s="1"/>
  <c r="P28" i="2"/>
  <c r="M28" i="2" s="1"/>
  <c r="P32" i="2"/>
  <c r="M32" i="2" s="1"/>
  <c r="N43" i="2"/>
  <c r="L43" i="2" s="1"/>
  <c r="Z43" i="2" s="1"/>
  <c r="N92" i="2"/>
  <c r="L92" i="2" s="1"/>
  <c r="Z92" i="2" s="1"/>
  <c r="K88" i="2"/>
  <c r="P97" i="2"/>
  <c r="M97" i="2" s="1"/>
  <c r="P33" i="2"/>
  <c r="M33" i="2" s="1"/>
  <c r="P30" i="2"/>
  <c r="M30" i="2" s="1"/>
  <c r="K96" i="2"/>
  <c r="N18" i="2"/>
  <c r="L18" i="2" s="1"/>
  <c r="Z18" i="2" s="1"/>
  <c r="N32" i="2"/>
  <c r="L32" i="2" s="1"/>
  <c r="Z32" i="2" s="1"/>
  <c r="K60" i="2"/>
  <c r="P60" i="2"/>
  <c r="M60" i="2" s="1"/>
  <c r="N82" i="2"/>
  <c r="L82" i="2" s="1"/>
  <c r="Z82" i="2" s="1"/>
  <c r="N89" i="2"/>
  <c r="L89" i="2" s="1"/>
  <c r="Z89" i="2" s="1"/>
  <c r="N57" i="2"/>
  <c r="L57" i="2" s="1"/>
  <c r="Z57" i="2" s="1"/>
  <c r="K82" i="2"/>
  <c r="P53" i="2"/>
  <c r="M53" i="2" s="1"/>
  <c r="P89" i="2"/>
  <c r="M89" i="2" s="1"/>
  <c r="N58" i="2"/>
  <c r="L58" i="2" s="1"/>
  <c r="Z58" i="2" s="1"/>
  <c r="P88" i="2"/>
  <c r="M88" i="2" s="1"/>
  <c r="N33" i="2"/>
  <c r="L33" i="2" s="1"/>
  <c r="Z33" i="2" s="1"/>
  <c r="P50" i="2"/>
  <c r="M50" i="2" s="1"/>
  <c r="K38" i="2"/>
  <c r="N17" i="2"/>
  <c r="L17" i="2" s="1"/>
  <c r="Z17" i="2" s="1"/>
  <c r="N38" i="2"/>
  <c r="L38" i="2" s="1"/>
  <c r="Z38" i="2" s="1"/>
  <c r="K50" i="2"/>
  <c r="N95" i="2"/>
  <c r="L95" i="2" s="1"/>
  <c r="Z95" i="2" s="1"/>
  <c r="N97" i="2"/>
  <c r="L97" i="2" s="1"/>
  <c r="Z97" i="2" s="1"/>
  <c r="P101" i="2"/>
  <c r="M101" i="2" s="1"/>
  <c r="P17" i="2"/>
  <c r="M17" i="2" s="1"/>
  <c r="K57" i="2"/>
  <c r="P58" i="2"/>
  <c r="M58" i="2" s="1"/>
  <c r="P8" i="2"/>
  <c r="M8" i="2" s="1"/>
  <c r="K95" i="2"/>
  <c r="N62" i="2"/>
  <c r="L62" i="2" s="1"/>
  <c r="Z62" i="2" s="1"/>
  <c r="N64" i="2"/>
  <c r="L64" i="2" s="1"/>
  <c r="Z64" i="2" s="1"/>
  <c r="P99" i="2"/>
  <c r="M99" i="2" s="1"/>
  <c r="P61" i="2"/>
  <c r="M61" i="2" s="1"/>
  <c r="N61" i="2"/>
  <c r="L61" i="2" s="1"/>
  <c r="Z61" i="2" s="1"/>
  <c r="N90" i="2"/>
  <c r="L90" i="2" s="1"/>
  <c r="Z90" i="2" s="1"/>
  <c r="K100" i="2"/>
  <c r="K26" i="2"/>
  <c r="P65" i="2"/>
  <c r="M65" i="2" s="1"/>
  <c r="P90" i="2"/>
  <c r="M90" i="2" s="1"/>
  <c r="P77" i="2"/>
  <c r="M77" i="2" s="1"/>
  <c r="K101" i="2"/>
  <c r="N48" i="2"/>
  <c r="L48" i="2" s="1"/>
  <c r="Z48" i="2" s="1"/>
  <c r="N77" i="2"/>
  <c r="L77" i="2" s="1"/>
  <c r="Z77" i="2" s="1"/>
  <c r="K36" i="2"/>
  <c r="N104" i="2"/>
  <c r="L104" i="2" s="1"/>
  <c r="Z104" i="2" s="1"/>
  <c r="K13" i="2"/>
  <c r="N100" i="2"/>
  <c r="L100" i="2" s="1"/>
  <c r="Z100" i="2" s="1"/>
  <c r="N26" i="2"/>
  <c r="L26" i="2" s="1"/>
  <c r="Z26" i="2" s="1"/>
  <c r="K70" i="2"/>
  <c r="K48" i="2"/>
  <c r="P62" i="2"/>
  <c r="M62" i="2" s="1"/>
  <c r="K21" i="2"/>
  <c r="K66" i="2"/>
  <c r="N24" i="2"/>
  <c r="L24" i="2" s="1"/>
  <c r="Z24" i="2" s="1"/>
  <c r="K99" i="2"/>
  <c r="P81" i="2"/>
  <c r="M81" i="2" s="1"/>
  <c r="N79" i="2"/>
  <c r="L79" i="2" s="1"/>
  <c r="Z79" i="2" s="1"/>
  <c r="K71" i="2"/>
  <c r="P64" i="2"/>
  <c r="M64" i="2" s="1"/>
  <c r="N65" i="2"/>
  <c r="L65" i="2" s="1"/>
  <c r="Z65" i="2" s="1"/>
  <c r="P93" i="2"/>
  <c r="M93" i="2" s="1"/>
  <c r="N21" i="2"/>
  <c r="L21" i="2" s="1"/>
  <c r="Z21" i="2" s="1"/>
  <c r="P35" i="2"/>
  <c r="M35" i="2" s="1"/>
  <c r="N71" i="2"/>
  <c r="L71" i="2" s="1"/>
  <c r="Z71" i="2" s="1"/>
  <c r="K24" i="2"/>
  <c r="K79" i="2"/>
  <c r="K35" i="2"/>
  <c r="N93" i="2"/>
  <c r="L93" i="2" s="1"/>
  <c r="Z93" i="2" s="1"/>
  <c r="N81" i="2"/>
  <c r="L81" i="2" s="1"/>
  <c r="Z81" i="2" s="1"/>
  <c r="K28" i="2"/>
  <c r="P66" i="2"/>
  <c r="M66" i="2" s="1"/>
  <c r="N72" i="2"/>
  <c r="L72" i="2" s="1"/>
  <c r="Z72" i="2" s="1"/>
  <c r="N80" i="2"/>
  <c r="L80" i="2" s="1"/>
  <c r="Z80" i="2" s="1"/>
  <c r="P80" i="2"/>
  <c r="M80" i="2" s="1"/>
  <c r="K80" i="2"/>
  <c r="P39" i="2"/>
  <c r="M39" i="2" s="1"/>
  <c r="N39" i="2"/>
  <c r="L39" i="2" s="1"/>
  <c r="Z39" i="2" s="1"/>
  <c r="N29" i="2"/>
  <c r="L29" i="2" s="1"/>
  <c r="Z29" i="2" s="1"/>
  <c r="P29" i="2"/>
  <c r="M29" i="2" s="1"/>
  <c r="K29" i="2"/>
  <c r="K34" i="2"/>
  <c r="K98" i="2"/>
  <c r="P96" i="2"/>
  <c r="M96" i="2" s="1"/>
  <c r="K54" i="2"/>
  <c r="P36" i="2"/>
  <c r="M36" i="2" s="1"/>
  <c r="N98" i="2"/>
  <c r="L98" i="2" s="1"/>
  <c r="Z98" i="2" s="1"/>
  <c r="P72" i="2"/>
  <c r="M72" i="2" s="1"/>
  <c r="P46" i="2"/>
  <c r="M46" i="2" s="1"/>
  <c r="K46" i="2"/>
  <c r="P14" i="2"/>
  <c r="M14" i="2" s="1"/>
  <c r="N14" i="2"/>
  <c r="L14" i="2" s="1"/>
  <c r="Z14" i="2" s="1"/>
  <c r="K14" i="2"/>
  <c r="P11" i="2"/>
  <c r="M11" i="2" s="1"/>
  <c r="N11" i="2"/>
  <c r="L11" i="2" s="1"/>
  <c r="Z11" i="2" s="1"/>
  <c r="K11" i="2"/>
  <c r="P31" i="2"/>
  <c r="M31" i="2" s="1"/>
  <c r="N31" i="2"/>
  <c r="L31" i="2" s="1"/>
  <c r="Z31" i="2" s="1"/>
  <c r="K31" i="2"/>
  <c r="K22" i="2"/>
  <c r="P22" i="2"/>
  <c r="M22" i="2" s="1"/>
  <c r="P87" i="2"/>
  <c r="M87" i="2" s="1"/>
  <c r="P44" i="2"/>
  <c r="M44" i="2" s="1"/>
  <c r="K44" i="2"/>
  <c r="N46" i="2"/>
  <c r="L46" i="2" s="1"/>
  <c r="Z46" i="2" s="1"/>
  <c r="P47" i="2"/>
  <c r="M47" i="2" s="1"/>
  <c r="K47" i="2"/>
  <c r="N47" i="2"/>
  <c r="L47" i="2" s="1"/>
  <c r="Z47" i="2" s="1"/>
  <c r="P40" i="2"/>
  <c r="M40" i="2" s="1"/>
  <c r="N40" i="2"/>
  <c r="L40" i="2" s="1"/>
  <c r="Z40" i="2" s="1"/>
  <c r="K49" i="2"/>
  <c r="N49" i="2"/>
  <c r="L49" i="2" s="1"/>
  <c r="Z49" i="2" s="1"/>
  <c r="P49" i="2"/>
  <c r="M49" i="2" s="1"/>
  <c r="N74" i="2"/>
  <c r="L74" i="2" s="1"/>
  <c r="Z74" i="2" s="1"/>
  <c r="N85" i="2"/>
  <c r="L85" i="2" s="1"/>
  <c r="Z85" i="2" s="1"/>
  <c r="K85" i="2"/>
  <c r="P85" i="2"/>
  <c r="M85" i="2" s="1"/>
  <c r="N87" i="2"/>
  <c r="L87" i="2" s="1"/>
  <c r="Z87" i="2" s="1"/>
  <c r="P74" i="2"/>
  <c r="M74" i="2" s="1"/>
  <c r="K75" i="2"/>
  <c r="N75" i="2"/>
  <c r="L75" i="2" s="1"/>
  <c r="Z75" i="2" s="1"/>
  <c r="P75" i="2"/>
  <c r="M75" i="2" s="1"/>
  <c r="P84" i="2"/>
  <c r="M84" i="2" s="1"/>
  <c r="N84" i="2"/>
  <c r="L84" i="2" s="1"/>
  <c r="Z84" i="2" s="1"/>
  <c r="K84" i="2"/>
  <c r="P16" i="2"/>
  <c r="M16" i="2" s="1"/>
  <c r="N16" i="2"/>
  <c r="L16" i="2" s="1"/>
  <c r="Z16" i="2" s="1"/>
  <c r="K16" i="2"/>
  <c r="N86" i="2"/>
  <c r="L86" i="2" s="1"/>
  <c r="Z86" i="2" s="1"/>
  <c r="K86" i="2"/>
  <c r="E21" i="7"/>
  <c r="B45" i="7" l="1"/>
  <c r="J43" i="7" s="1"/>
  <c r="J44" i="7" s="1"/>
  <c r="R6" i="4"/>
  <c r="S6" i="4"/>
  <c r="S14" i="4"/>
  <c r="R10" i="4"/>
  <c r="O13" i="4"/>
  <c r="D37" i="4" s="1"/>
  <c r="E31" i="7"/>
  <c r="H31" i="7" s="1"/>
  <c r="I31" i="7" s="1"/>
  <c r="K47" i="7"/>
  <c r="M46" i="7"/>
  <c r="K85" i="7"/>
  <c r="M84" i="7"/>
  <c r="J520" i="7"/>
  <c r="M509" i="7"/>
  <c r="L21" i="4"/>
  <c r="M21" i="4" s="1"/>
  <c r="AG15" i="2"/>
  <c r="F21" i="7"/>
  <c r="J22" i="7" s="1"/>
  <c r="G21" i="7"/>
  <c r="J21" i="7" s="1"/>
  <c r="H21" i="7"/>
  <c r="I21" i="7" s="1"/>
  <c r="E22" i="7"/>
  <c r="M21" i="7" s="1"/>
  <c r="B55" i="7"/>
  <c r="A57" i="7"/>
  <c r="A58" i="7" s="1"/>
  <c r="A59" i="7" s="1"/>
  <c r="A60" i="7" s="1"/>
  <c r="A61" i="7" s="1"/>
  <c r="A62" i="7" s="1"/>
  <c r="A63" i="7" s="1"/>
  <c r="A64" i="7" s="1"/>
  <c r="A65" i="7" s="1"/>
  <c r="A66" i="7" s="1"/>
  <c r="D32" i="4" l="1"/>
  <c r="D34" i="4"/>
  <c r="D39" i="4"/>
  <c r="S40" i="4"/>
  <c r="J14" i="4"/>
  <c r="J19" i="4" s="1"/>
  <c r="P13" i="4"/>
  <c r="H26" i="4"/>
  <c r="F31" i="7"/>
  <c r="J32" i="7" s="1"/>
  <c r="E32" i="7"/>
  <c r="M31" i="7" s="1"/>
  <c r="G31" i="7"/>
  <c r="J31" i="7" s="1"/>
  <c r="D31" i="7" s="1"/>
  <c r="K87" i="7"/>
  <c r="M88" i="7" s="1"/>
  <c r="M86" i="7"/>
  <c r="K49" i="7"/>
  <c r="K53" i="7" s="1"/>
  <c r="M48" i="7"/>
  <c r="J53" i="7"/>
  <c r="J54" i="7" s="1"/>
  <c r="E41" i="7"/>
  <c r="F41" i="7" s="1"/>
  <c r="J42" i="7" s="1"/>
  <c r="S21" i="4"/>
  <c r="S10" i="4"/>
  <c r="H14" i="4" s="1"/>
  <c r="H16" i="4" s="1"/>
  <c r="M519" i="7"/>
  <c r="J530" i="7"/>
  <c r="AG17" i="2"/>
  <c r="AG16" i="2"/>
  <c r="D21" i="7"/>
  <c r="L22" i="7" s="1"/>
  <c r="H22" i="7"/>
  <c r="G22" i="7"/>
  <c r="F22" i="7"/>
  <c r="E23" i="7"/>
  <c r="A67" i="7"/>
  <c r="A68" i="7" s="1"/>
  <c r="A69" i="7" s="1"/>
  <c r="A70" i="7" s="1"/>
  <c r="A71" i="7" s="1"/>
  <c r="A72" i="7" s="1"/>
  <c r="A73" i="7" s="1"/>
  <c r="A74" i="7" s="1"/>
  <c r="A75" i="7" s="1"/>
  <c r="A76" i="7" s="1"/>
  <c r="B65" i="7"/>
  <c r="H35" i="4" l="1"/>
  <c r="G32" i="4"/>
  <c r="D28" i="4"/>
  <c r="G32" i="7"/>
  <c r="H32" i="7"/>
  <c r="J15" i="4"/>
  <c r="J17" i="4"/>
  <c r="L14" i="4"/>
  <c r="P14" i="4" s="1"/>
  <c r="F32" i="7"/>
  <c r="E33" i="7"/>
  <c r="E34" i="7" s="1"/>
  <c r="M33" i="7" s="1"/>
  <c r="H18" i="4"/>
  <c r="E51" i="7"/>
  <c r="F51" i="7" s="1"/>
  <c r="J52" i="7" s="1"/>
  <c r="K55" i="7"/>
  <c r="M54" i="7"/>
  <c r="K89" i="7"/>
  <c r="K93" i="7" s="1"/>
  <c r="J63" i="7"/>
  <c r="J64" i="7" s="1"/>
  <c r="H41" i="7"/>
  <c r="I41" i="7" s="1"/>
  <c r="G41" i="7"/>
  <c r="J41" i="7" s="1"/>
  <c r="E42" i="7"/>
  <c r="M41" i="7" s="1"/>
  <c r="M529" i="7"/>
  <c r="J540" i="7"/>
  <c r="D23" i="7"/>
  <c r="L24" i="7" s="1"/>
  <c r="D33" i="7"/>
  <c r="L32" i="7"/>
  <c r="H23" i="7"/>
  <c r="G23" i="7"/>
  <c r="E24" i="7"/>
  <c r="M23" i="7" s="1"/>
  <c r="F23" i="7"/>
  <c r="A77" i="7"/>
  <c r="A78" i="7" s="1"/>
  <c r="A79" i="7" s="1"/>
  <c r="A80" i="7" s="1"/>
  <c r="A81" i="7" s="1"/>
  <c r="A82" i="7" s="1"/>
  <c r="A83" i="7" s="1"/>
  <c r="A84" i="7" s="1"/>
  <c r="A85" i="7" s="1"/>
  <c r="A86" i="7" s="1"/>
  <c r="B75" i="7"/>
  <c r="H30" i="4" l="1"/>
  <c r="H40" i="4"/>
  <c r="S15" i="4"/>
  <c r="O14" i="4" s="1"/>
  <c r="G25" i="4"/>
  <c r="J18" i="4"/>
  <c r="I25" i="4" s="1"/>
  <c r="R15" i="4"/>
  <c r="F33" i="7"/>
  <c r="G33" i="7"/>
  <c r="H33" i="7"/>
  <c r="J16" i="4"/>
  <c r="Q15" i="4"/>
  <c r="G51" i="7"/>
  <c r="J51" i="7" s="1"/>
  <c r="E52" i="7"/>
  <c r="M51" i="7" s="1"/>
  <c r="H51" i="7"/>
  <c r="I51" i="7" s="1"/>
  <c r="K95" i="7"/>
  <c r="M94" i="7"/>
  <c r="D41" i="7"/>
  <c r="D43" i="7" s="1"/>
  <c r="H42" i="7"/>
  <c r="K57" i="7"/>
  <c r="M56" i="7"/>
  <c r="E61" i="7"/>
  <c r="H61" i="7" s="1"/>
  <c r="I61" i="7" s="1"/>
  <c r="G42" i="7"/>
  <c r="J73" i="7"/>
  <c r="J74" i="7" s="1"/>
  <c r="E43" i="7"/>
  <c r="G43" i="7" s="1"/>
  <c r="F42" i="7"/>
  <c r="M539" i="7"/>
  <c r="J550" i="7"/>
  <c r="D25" i="7"/>
  <c r="L26" i="7" s="1"/>
  <c r="D35" i="7"/>
  <c r="L34" i="7"/>
  <c r="Q17" i="4"/>
  <c r="AG18" i="2"/>
  <c r="F34" i="7"/>
  <c r="E35" i="7"/>
  <c r="G34" i="7"/>
  <c r="H34" i="7"/>
  <c r="E25" i="7"/>
  <c r="H24" i="7"/>
  <c r="G24" i="7"/>
  <c r="F24" i="7"/>
  <c r="R17" i="4"/>
  <c r="S17" i="4"/>
  <c r="M16" i="4" s="1"/>
  <c r="B85" i="7"/>
  <c r="A87" i="7"/>
  <c r="A88" i="7" s="1"/>
  <c r="A89" i="7" s="1"/>
  <c r="A90" i="7" s="1"/>
  <c r="A91" i="7" s="1"/>
  <c r="A92" i="7" s="1"/>
  <c r="A93" i="7" s="1"/>
  <c r="A94" i="7" s="1"/>
  <c r="A95" i="7" s="1"/>
  <c r="A96" i="7" s="1"/>
  <c r="S20" i="4" l="1"/>
  <c r="L15" i="4"/>
  <c r="P15" i="4" s="1"/>
  <c r="M14" i="4"/>
  <c r="P16" i="4" s="1"/>
  <c r="R20" i="4" s="1"/>
  <c r="H25" i="4"/>
  <c r="R16" i="4"/>
  <c r="Q16" i="4"/>
  <c r="S16" i="4"/>
  <c r="D51" i="7"/>
  <c r="L52" i="7" s="1"/>
  <c r="G52" i="7"/>
  <c r="H52" i="7"/>
  <c r="E53" i="7"/>
  <c r="H53" i="7" s="1"/>
  <c r="F52" i="7"/>
  <c r="G61" i="7"/>
  <c r="J61" i="7" s="1"/>
  <c r="D61" i="7" s="1"/>
  <c r="F61" i="7"/>
  <c r="J62" i="7" s="1"/>
  <c r="E62" i="7"/>
  <c r="M61" i="7" s="1"/>
  <c r="L42" i="7"/>
  <c r="K97" i="7"/>
  <c r="M96" i="7"/>
  <c r="K59" i="7"/>
  <c r="M58" i="7"/>
  <c r="E44" i="7"/>
  <c r="M43" i="7" s="1"/>
  <c r="H43" i="7"/>
  <c r="F43" i="7"/>
  <c r="J83" i="7"/>
  <c r="J84" i="7" s="1"/>
  <c r="E71" i="7"/>
  <c r="G71" i="7" s="1"/>
  <c r="J71" i="7" s="1"/>
  <c r="J560" i="7"/>
  <c r="M549" i="7"/>
  <c r="D27" i="7"/>
  <c r="L28" i="7" s="1"/>
  <c r="D45" i="7"/>
  <c r="L44" i="7"/>
  <c r="D37" i="7"/>
  <c r="L38" i="7" s="1"/>
  <c r="L36" i="7"/>
  <c r="S18" i="4"/>
  <c r="Q19" i="4"/>
  <c r="L17" i="4"/>
  <c r="P17" i="4" s="1"/>
  <c r="AG19" i="2"/>
  <c r="L16" i="4"/>
  <c r="P18" i="4" s="1"/>
  <c r="Q18" i="4"/>
  <c r="R18" i="4"/>
  <c r="F35" i="7"/>
  <c r="G35" i="7"/>
  <c r="H35" i="7"/>
  <c r="E36" i="7"/>
  <c r="M35" i="7" s="1"/>
  <c r="E26" i="7"/>
  <c r="M25" i="7" s="1"/>
  <c r="F25" i="7"/>
  <c r="H25" i="7"/>
  <c r="G25" i="7"/>
  <c r="B95" i="7"/>
  <c r="A97" i="7"/>
  <c r="A98" i="7" s="1"/>
  <c r="A99" i="7" s="1"/>
  <c r="A100" i="7" s="1"/>
  <c r="A101" i="7" s="1"/>
  <c r="A102" i="7" s="1"/>
  <c r="A103" i="7" s="1"/>
  <c r="A104" i="7" s="1"/>
  <c r="A105" i="7" s="1"/>
  <c r="A106" i="7" s="1"/>
  <c r="G53" i="7" l="1"/>
  <c r="D53" i="7"/>
  <c r="L54" i="7" s="1"/>
  <c r="F53" i="7"/>
  <c r="E54" i="7"/>
  <c r="M53" i="7" s="1"/>
  <c r="E63" i="7"/>
  <c r="F63" i="7" s="1"/>
  <c r="F62" i="7"/>
  <c r="G62" i="7"/>
  <c r="H62" i="7"/>
  <c r="E45" i="7"/>
  <c r="F45" i="7" s="1"/>
  <c r="F44" i="7"/>
  <c r="G44" i="7"/>
  <c r="H44" i="7"/>
  <c r="K99" i="7"/>
  <c r="K103" i="7" s="1"/>
  <c r="M98" i="7"/>
  <c r="E72" i="7"/>
  <c r="M71" i="7" s="1"/>
  <c r="H71" i="7"/>
  <c r="I71" i="7" s="1"/>
  <c r="D71" i="7" s="1"/>
  <c r="F71" i="7"/>
  <c r="J72" i="7" s="1"/>
  <c r="J93" i="7"/>
  <c r="J94" i="7" s="1"/>
  <c r="E81" i="7"/>
  <c r="G81" i="7" s="1"/>
  <c r="J81" i="7" s="1"/>
  <c r="M559" i="7"/>
  <c r="J570" i="7"/>
  <c r="D63" i="7"/>
  <c r="L62" i="7"/>
  <c r="D47" i="7"/>
  <c r="L48" i="7" s="1"/>
  <c r="L46" i="7"/>
  <c r="S19" i="4"/>
  <c r="AG20" i="2"/>
  <c r="R19" i="4"/>
  <c r="E27" i="7"/>
  <c r="F26" i="7"/>
  <c r="G26" i="7"/>
  <c r="H26" i="7"/>
  <c r="H36" i="7"/>
  <c r="G36" i="7"/>
  <c r="F36" i="7"/>
  <c r="E37" i="7"/>
  <c r="B105" i="7"/>
  <c r="A107" i="7"/>
  <c r="A108" i="7" s="1"/>
  <c r="A109" i="7" s="1"/>
  <c r="A110" i="7" s="1"/>
  <c r="A111" i="7" s="1"/>
  <c r="A112" i="7" s="1"/>
  <c r="A113" i="7" s="1"/>
  <c r="A114" i="7" s="1"/>
  <c r="A115" i="7" s="1"/>
  <c r="A116" i="7" s="1"/>
  <c r="D55" i="7" l="1"/>
  <c r="C3" i="4"/>
  <c r="F25" i="4"/>
  <c r="L19" i="4"/>
  <c r="E64" i="7"/>
  <c r="M63" i="7" s="1"/>
  <c r="H54" i="7"/>
  <c r="F54" i="7"/>
  <c r="G54" i="7"/>
  <c r="E55" i="7"/>
  <c r="F55" i="7" s="1"/>
  <c r="G63" i="7"/>
  <c r="H63" i="7"/>
  <c r="H45" i="7"/>
  <c r="E46" i="7"/>
  <c r="M45" i="7" s="1"/>
  <c r="G45" i="7"/>
  <c r="H81" i="7"/>
  <c r="I81" i="7" s="1"/>
  <c r="D81" i="7" s="1"/>
  <c r="F72" i="7"/>
  <c r="E73" i="7"/>
  <c r="F73" i="7" s="1"/>
  <c r="H72" i="7"/>
  <c r="K105" i="7"/>
  <c r="M104" i="7"/>
  <c r="G72" i="7"/>
  <c r="F81" i="7"/>
  <c r="J82" i="7" s="1"/>
  <c r="E82" i="7"/>
  <c r="M81" i="7" s="1"/>
  <c r="J103" i="7"/>
  <c r="J104" i="7" s="1"/>
  <c r="E91" i="7"/>
  <c r="G91" i="7" s="1"/>
  <c r="J91" i="7" s="1"/>
  <c r="J580" i="7"/>
  <c r="M569" i="7"/>
  <c r="Q20" i="4"/>
  <c r="M18" i="4"/>
  <c r="D73" i="7"/>
  <c r="L72" i="7"/>
  <c r="D65" i="7"/>
  <c r="L64" i="7"/>
  <c r="D57" i="7"/>
  <c r="L58" i="7" s="1"/>
  <c r="L56" i="7"/>
  <c r="AG21" i="2"/>
  <c r="H37" i="7"/>
  <c r="G37" i="7"/>
  <c r="F37" i="7"/>
  <c r="E38" i="7"/>
  <c r="M37" i="7" s="1"/>
  <c r="E28" i="7"/>
  <c r="M27" i="7" s="1"/>
  <c r="F27" i="7"/>
  <c r="H27" i="7"/>
  <c r="G27" i="7"/>
  <c r="B115" i="7"/>
  <c r="A117" i="7"/>
  <c r="A118" i="7" s="1"/>
  <c r="A119" i="7" s="1"/>
  <c r="A120" i="7" s="1"/>
  <c r="A121" i="7" s="1"/>
  <c r="A122" i="7" s="1"/>
  <c r="A123" i="7" s="1"/>
  <c r="A124" i="7" s="1"/>
  <c r="A125" i="7" s="1"/>
  <c r="A126" i="7" s="1"/>
  <c r="H64" i="7" l="1"/>
  <c r="F64" i="7"/>
  <c r="E65" i="7"/>
  <c r="G64" i="7"/>
  <c r="G40" i="4"/>
  <c r="J40" i="4" s="1"/>
  <c r="P40" i="4" s="1"/>
  <c r="B23" i="4"/>
  <c r="F15" i="4"/>
  <c r="K25" i="4"/>
  <c r="F17" i="4"/>
  <c r="F19" i="4"/>
  <c r="R22" i="4"/>
  <c r="G42" i="4"/>
  <c r="Q22" i="4"/>
  <c r="Q21" i="4" s="1"/>
  <c r="P19" i="4"/>
  <c r="L20" i="4" s="1"/>
  <c r="P20" i="4" s="1"/>
  <c r="A20" i="4" s="1"/>
  <c r="E56" i="7"/>
  <c r="M55" i="7" s="1"/>
  <c r="G55" i="7"/>
  <c r="H55" i="7"/>
  <c r="E47" i="7"/>
  <c r="E48" i="7" s="1"/>
  <c r="M47" i="7" s="1"/>
  <c r="G46" i="7"/>
  <c r="F46" i="7"/>
  <c r="H46" i="7"/>
  <c r="E83" i="7"/>
  <c r="G83" i="7" s="1"/>
  <c r="F82" i="7"/>
  <c r="G73" i="7"/>
  <c r="G82" i="7"/>
  <c r="H82" i="7"/>
  <c r="E92" i="7"/>
  <c r="M91" i="7" s="1"/>
  <c r="H91" i="7"/>
  <c r="I91" i="7" s="1"/>
  <c r="D91" i="7" s="1"/>
  <c r="H73" i="7"/>
  <c r="E74" i="7"/>
  <c r="M73" i="7" s="1"/>
  <c r="K107" i="7"/>
  <c r="M106" i="7"/>
  <c r="E101" i="7"/>
  <c r="F101" i="7" s="1"/>
  <c r="J102" i="7" s="1"/>
  <c r="F91" i="7"/>
  <c r="J92" i="7" s="1"/>
  <c r="J113" i="7"/>
  <c r="J114" i="7" s="1"/>
  <c r="D83" i="7"/>
  <c r="L82" i="7"/>
  <c r="M579" i="7"/>
  <c r="J590" i="7"/>
  <c r="D75" i="7"/>
  <c r="L74" i="7"/>
  <c r="D67" i="7"/>
  <c r="L68" i="7" s="1"/>
  <c r="L66" i="7"/>
  <c r="AG22" i="2"/>
  <c r="G65" i="7"/>
  <c r="F65" i="7"/>
  <c r="H65" i="7"/>
  <c r="E66" i="7"/>
  <c r="M65" i="7" s="1"/>
  <c r="H38" i="7"/>
  <c r="F38" i="7"/>
  <c r="G38" i="7"/>
  <c r="G28" i="7"/>
  <c r="F28" i="7"/>
  <c r="H28" i="7"/>
  <c r="A127" i="7"/>
  <c r="A128" i="7" s="1"/>
  <c r="A129" i="7" s="1"/>
  <c r="A130" i="7" s="1"/>
  <c r="A131" i="7" s="1"/>
  <c r="A132" i="7" s="1"/>
  <c r="A133" i="7" s="1"/>
  <c r="A134" i="7" s="1"/>
  <c r="A135" i="7" s="1"/>
  <c r="A136" i="7" s="1"/>
  <c r="B125" i="7"/>
  <c r="G30" i="4" l="1"/>
  <c r="G34" i="4"/>
  <c r="M22" i="4"/>
  <c r="A22" i="4" s="1"/>
  <c r="H56" i="7"/>
  <c r="E57" i="7"/>
  <c r="F57" i="7" s="1"/>
  <c r="G56" i="7"/>
  <c r="F47" i="7"/>
  <c r="G47" i="7"/>
  <c r="H47" i="7"/>
  <c r="F56" i="7"/>
  <c r="F83" i="7"/>
  <c r="E84" i="7"/>
  <c r="M83" i="7" s="1"/>
  <c r="E102" i="7"/>
  <c r="M101" i="7" s="1"/>
  <c r="H83" i="7"/>
  <c r="H92" i="7"/>
  <c r="F92" i="7"/>
  <c r="E93" i="7"/>
  <c r="H93" i="7" s="1"/>
  <c r="G92" i="7"/>
  <c r="G74" i="7"/>
  <c r="G101" i="7"/>
  <c r="J101" i="7" s="1"/>
  <c r="H101" i="7"/>
  <c r="I101" i="7" s="1"/>
  <c r="H74" i="7"/>
  <c r="F74" i="7"/>
  <c r="E75" i="7"/>
  <c r="F75" i="7" s="1"/>
  <c r="K109" i="7"/>
  <c r="K113" i="7" s="1"/>
  <c r="M108" i="7"/>
  <c r="E111" i="7"/>
  <c r="F111" i="7" s="1"/>
  <c r="J112" i="7" s="1"/>
  <c r="J123" i="7"/>
  <c r="J124" i="7" s="1"/>
  <c r="D93" i="7"/>
  <c r="L92" i="7"/>
  <c r="D85" i="7"/>
  <c r="L84" i="7"/>
  <c r="J600" i="7"/>
  <c r="M589" i="7"/>
  <c r="D77" i="7"/>
  <c r="L78" i="7" s="1"/>
  <c r="L76" i="7"/>
  <c r="AG23" i="2"/>
  <c r="H66" i="7"/>
  <c r="G66" i="7"/>
  <c r="E67" i="7"/>
  <c r="F66" i="7"/>
  <c r="F48" i="7"/>
  <c r="H48" i="7"/>
  <c r="G48" i="7"/>
  <c r="B135" i="7"/>
  <c r="A137" i="7"/>
  <c r="A138" i="7" s="1"/>
  <c r="A139" i="7" s="1"/>
  <c r="A140" i="7" s="1"/>
  <c r="A141" i="7" s="1"/>
  <c r="A142" i="7" s="1"/>
  <c r="A143" i="7" s="1"/>
  <c r="A144" i="7" s="1"/>
  <c r="A145" i="7" s="1"/>
  <c r="A146" i="7" s="1"/>
  <c r="B145" i="7" s="1"/>
  <c r="J143" i="7" s="1"/>
  <c r="J144" i="7" s="1"/>
  <c r="G29" i="4" l="1"/>
  <c r="J35" i="4"/>
  <c r="G57" i="7"/>
  <c r="E58" i="7"/>
  <c r="M57" i="7" s="1"/>
  <c r="H57" i="7"/>
  <c r="H84" i="7"/>
  <c r="F84" i="7"/>
  <c r="E85" i="7"/>
  <c r="G85" i="7" s="1"/>
  <c r="G84" i="7"/>
  <c r="H102" i="7"/>
  <c r="G102" i="7"/>
  <c r="F102" i="7"/>
  <c r="E103" i="7"/>
  <c r="G103" i="7" s="1"/>
  <c r="D101" i="7"/>
  <c r="L102" i="7" s="1"/>
  <c r="E94" i="7"/>
  <c r="M93" i="7" s="1"/>
  <c r="F93" i="7"/>
  <c r="G93" i="7"/>
  <c r="E112" i="7"/>
  <c r="M111" i="7" s="1"/>
  <c r="H111" i="7"/>
  <c r="I111" i="7" s="1"/>
  <c r="E76" i="7"/>
  <c r="M75" i="7" s="1"/>
  <c r="G75" i="7"/>
  <c r="H75" i="7"/>
  <c r="G111" i="7"/>
  <c r="J111" i="7" s="1"/>
  <c r="K115" i="7"/>
  <c r="M114" i="7"/>
  <c r="E141" i="7"/>
  <c r="J133" i="7"/>
  <c r="J134" i="7" s="1"/>
  <c r="E121" i="7"/>
  <c r="F121" i="7" s="1"/>
  <c r="J122" i="7" s="1"/>
  <c r="D87" i="7"/>
  <c r="L88" i="7" s="1"/>
  <c r="L86" i="7"/>
  <c r="D95" i="7"/>
  <c r="L94" i="7"/>
  <c r="J610" i="7"/>
  <c r="J620" i="7" s="1"/>
  <c r="J630" i="7" s="1"/>
  <c r="J640" i="7" s="1"/>
  <c r="J650" i="7" s="1"/>
  <c r="J660" i="7" s="1"/>
  <c r="J670" i="7" s="1"/>
  <c r="J680" i="7" s="1"/>
  <c r="J690" i="7" s="1"/>
  <c r="J700" i="7" s="1"/>
  <c r="J710" i="7" s="1"/>
  <c r="J720" i="7" s="1"/>
  <c r="J730" i="7" s="1"/>
  <c r="J740" i="7" s="1"/>
  <c r="J750" i="7" s="1"/>
  <c r="J760" i="7" s="1"/>
  <c r="J770" i="7" s="1"/>
  <c r="J780" i="7" s="1"/>
  <c r="J790" i="7" s="1"/>
  <c r="J800" i="7" s="1"/>
  <c r="J810" i="7" s="1"/>
  <c r="J820" i="7" s="1"/>
  <c r="J830" i="7" s="1"/>
  <c r="J840" i="7" s="1"/>
  <c r="J850" i="7" s="1"/>
  <c r="J860" i="7" s="1"/>
  <c r="J870" i="7" s="1"/>
  <c r="M599" i="7"/>
  <c r="AG24" i="2"/>
  <c r="H67" i="7"/>
  <c r="G67" i="7"/>
  <c r="E68" i="7"/>
  <c r="M67" i="7" s="1"/>
  <c r="F67" i="7"/>
  <c r="A147" i="7"/>
  <c r="A148" i="7" s="1"/>
  <c r="A149" i="7" s="1"/>
  <c r="A150" i="7" s="1"/>
  <c r="A151" i="7" s="1"/>
  <c r="A152" i="7" s="1"/>
  <c r="A153" i="7" s="1"/>
  <c r="A154" i="7" s="1"/>
  <c r="A155" i="7" s="1"/>
  <c r="A156" i="7" s="1"/>
  <c r="B155" i="7" s="1"/>
  <c r="F58" i="7" l="1"/>
  <c r="G58" i="7"/>
  <c r="H58" i="7"/>
  <c r="P35" i="4"/>
  <c r="P30" i="4" s="1"/>
  <c r="J30" i="4"/>
  <c r="H85" i="7"/>
  <c r="D103" i="7"/>
  <c r="D105" i="7" s="1"/>
  <c r="E86" i="7"/>
  <c r="M85" i="7" s="1"/>
  <c r="F85" i="7"/>
  <c r="E95" i="7"/>
  <c r="G95" i="7" s="1"/>
  <c r="G94" i="7"/>
  <c r="H103" i="7"/>
  <c r="H94" i="7"/>
  <c r="E104" i="7"/>
  <c r="M103" i="7" s="1"/>
  <c r="F103" i="7"/>
  <c r="F94" i="7"/>
  <c r="D111" i="7"/>
  <c r="D113" i="7" s="1"/>
  <c r="G76" i="7"/>
  <c r="H76" i="7"/>
  <c r="E77" i="7"/>
  <c r="G77" i="7" s="1"/>
  <c r="F76" i="7"/>
  <c r="H112" i="7"/>
  <c r="F112" i="7"/>
  <c r="G112" i="7"/>
  <c r="E113" i="7"/>
  <c r="F113" i="7" s="1"/>
  <c r="H141" i="7"/>
  <c r="I141" i="7" s="1"/>
  <c r="G141" i="7"/>
  <c r="J141" i="7" s="1"/>
  <c r="F141" i="7"/>
  <c r="J142" i="7" s="1"/>
  <c r="E142" i="7"/>
  <c r="E131" i="7"/>
  <c r="F131" i="7" s="1"/>
  <c r="J132" i="7" s="1"/>
  <c r="G121" i="7"/>
  <c r="J121" i="7" s="1"/>
  <c r="H121" i="7"/>
  <c r="I121" i="7" s="1"/>
  <c r="E122" i="7"/>
  <c r="M121" i="7" s="1"/>
  <c r="K117" i="7"/>
  <c r="M116" i="7"/>
  <c r="J153" i="7"/>
  <c r="J154" i="7" s="1"/>
  <c r="J880" i="7"/>
  <c r="D97" i="7"/>
  <c r="L98" i="7" s="1"/>
  <c r="L96" i="7"/>
  <c r="M609" i="7"/>
  <c r="M619" i="7" s="1"/>
  <c r="M629" i="7" s="1"/>
  <c r="M639" i="7" s="1"/>
  <c r="M649" i="7" s="1"/>
  <c r="M659" i="7" s="1"/>
  <c r="M669" i="7" s="1"/>
  <c r="M679" i="7" s="1"/>
  <c r="M689" i="7" s="1"/>
  <c r="M699" i="7" s="1"/>
  <c r="M709" i="7" s="1"/>
  <c r="M719" i="7" s="1"/>
  <c r="M729" i="7" s="1"/>
  <c r="M739" i="7" s="1"/>
  <c r="M749" i="7" s="1"/>
  <c r="M759" i="7" s="1"/>
  <c r="M769" i="7" s="1"/>
  <c r="M779" i="7" s="1"/>
  <c r="M789" i="7" s="1"/>
  <c r="M799" i="7" s="1"/>
  <c r="M809" i="7" s="1"/>
  <c r="M819" i="7" s="1"/>
  <c r="M829" i="7" s="1"/>
  <c r="M839" i="7" s="1"/>
  <c r="M849" i="7" s="1"/>
  <c r="M859" i="7" s="1"/>
  <c r="M869" i="7" s="1"/>
  <c r="M879" i="7" s="1"/>
  <c r="AG25" i="2"/>
  <c r="H68" i="7"/>
  <c r="G68" i="7"/>
  <c r="F68" i="7"/>
  <c r="A157" i="7"/>
  <c r="A158" i="7" s="1"/>
  <c r="A159" i="7" s="1"/>
  <c r="A160" i="7" s="1"/>
  <c r="A161" i="7" s="1"/>
  <c r="A162" i="7" s="1"/>
  <c r="A163" i="7" s="1"/>
  <c r="A164" i="7" s="1"/>
  <c r="A165" i="7" s="1"/>
  <c r="A166" i="7" s="1"/>
  <c r="H86" i="7" l="1"/>
  <c r="G86" i="7"/>
  <c r="P42" i="4"/>
  <c r="L26" i="4" s="1"/>
  <c r="M15" i="4" s="1"/>
  <c r="F86" i="7"/>
  <c r="E87" i="7"/>
  <c r="H87" i="7" s="1"/>
  <c r="F95" i="7"/>
  <c r="L104" i="7"/>
  <c r="E96" i="7"/>
  <c r="M95" i="7" s="1"/>
  <c r="H95" i="7"/>
  <c r="F77" i="7"/>
  <c r="L112" i="7"/>
  <c r="G104" i="7"/>
  <c r="E105" i="7"/>
  <c r="H105" i="7" s="1"/>
  <c r="H104" i="7"/>
  <c r="F104" i="7"/>
  <c r="H77" i="7"/>
  <c r="H131" i="7"/>
  <c r="I131" i="7" s="1"/>
  <c r="E78" i="7"/>
  <c r="M77" i="7" s="1"/>
  <c r="E114" i="7"/>
  <c r="M113" i="7" s="1"/>
  <c r="G113" i="7"/>
  <c r="H113" i="7"/>
  <c r="E132" i="7"/>
  <c r="M131" i="7" s="1"/>
  <c r="G131" i="7"/>
  <c r="J131" i="7" s="1"/>
  <c r="D121" i="7"/>
  <c r="L122" i="7" s="1"/>
  <c r="D141" i="7"/>
  <c r="D143" i="7" s="1"/>
  <c r="D145" i="7" s="1"/>
  <c r="D147" i="7" s="1"/>
  <c r="G142" i="7"/>
  <c r="H142" i="7"/>
  <c r="F142" i="7"/>
  <c r="E143" i="7"/>
  <c r="E123" i="7"/>
  <c r="G123" i="7" s="1"/>
  <c r="F122" i="7"/>
  <c r="G122" i="7"/>
  <c r="H122" i="7"/>
  <c r="K119" i="7"/>
  <c r="K123" i="7" s="1"/>
  <c r="M118" i="7"/>
  <c r="M889" i="7"/>
  <c r="J890" i="7"/>
  <c r="D115" i="7"/>
  <c r="L114" i="7"/>
  <c r="D107" i="7"/>
  <c r="L108" i="7" s="1"/>
  <c r="L106" i="7"/>
  <c r="E151" i="7"/>
  <c r="AG26" i="2"/>
  <c r="A167" i="7"/>
  <c r="A168" i="7" s="1"/>
  <c r="A169" i="7" s="1"/>
  <c r="A170" i="7" s="1"/>
  <c r="A171" i="7" s="1"/>
  <c r="A172" i="7" s="1"/>
  <c r="A173" i="7" s="1"/>
  <c r="A174" i="7" s="1"/>
  <c r="A175" i="7" s="1"/>
  <c r="A176" i="7" s="1"/>
  <c r="B165" i="7"/>
  <c r="M25" i="4" l="1"/>
  <c r="M19" i="4" s="1"/>
  <c r="M26" i="4"/>
  <c r="M17" i="4" s="1"/>
  <c r="E88" i="7"/>
  <c r="M87" i="7" s="1"/>
  <c r="F87" i="7"/>
  <c r="G87" i="7"/>
  <c r="G96" i="7"/>
  <c r="E97" i="7"/>
  <c r="F97" i="7" s="1"/>
  <c r="H96" i="7"/>
  <c r="F96" i="7"/>
  <c r="F105" i="7"/>
  <c r="G105" i="7"/>
  <c r="E106" i="7"/>
  <c r="M105" i="7" s="1"/>
  <c r="G78" i="7"/>
  <c r="D131" i="7"/>
  <c r="L132" i="7" s="1"/>
  <c r="H78" i="7"/>
  <c r="H114" i="7"/>
  <c r="F114" i="7"/>
  <c r="F78" i="7"/>
  <c r="E133" i="7"/>
  <c r="H133" i="7" s="1"/>
  <c r="H132" i="7"/>
  <c r="G114" i="7"/>
  <c r="E115" i="7"/>
  <c r="G115" i="7" s="1"/>
  <c r="D123" i="7"/>
  <c r="D125" i="7" s="1"/>
  <c r="F132" i="7"/>
  <c r="G132" i="7"/>
  <c r="F123" i="7"/>
  <c r="E124" i="7"/>
  <c r="M123" i="7" s="1"/>
  <c r="H123" i="7"/>
  <c r="G143" i="7"/>
  <c r="F143" i="7"/>
  <c r="H143" i="7"/>
  <c r="E144" i="7"/>
  <c r="M141" i="7"/>
  <c r="K125" i="7"/>
  <c r="M124" i="7"/>
  <c r="J163" i="7"/>
  <c r="J164" i="7" s="1"/>
  <c r="J900" i="7"/>
  <c r="M899" i="7"/>
  <c r="L124" i="7"/>
  <c r="L142" i="7"/>
  <c r="D117" i="7"/>
  <c r="L118" i="7" s="1"/>
  <c r="L116" i="7"/>
  <c r="E152" i="7"/>
  <c r="M151" i="7" s="1"/>
  <c r="F151" i="7"/>
  <c r="J152" i="7" s="1"/>
  <c r="G151" i="7"/>
  <c r="J151" i="7" s="1"/>
  <c r="H151" i="7"/>
  <c r="I151" i="7" s="1"/>
  <c r="AG27" i="2"/>
  <c r="B175" i="7"/>
  <c r="A177" i="7"/>
  <c r="A178" i="7" s="1"/>
  <c r="A179" i="7" s="1"/>
  <c r="A180" i="7" s="1"/>
  <c r="A181" i="7" s="1"/>
  <c r="A182" i="7" s="1"/>
  <c r="A183" i="7" s="1"/>
  <c r="A184" i="7" s="1"/>
  <c r="A185" i="7" s="1"/>
  <c r="A186" i="7" s="1"/>
  <c r="F88" i="7" l="1"/>
  <c r="H88" i="7"/>
  <c r="G88" i="7"/>
  <c r="I10" i="4"/>
  <c r="E98" i="7"/>
  <c r="M97" i="7" s="1"/>
  <c r="H97" i="7"/>
  <c r="G97" i="7"/>
  <c r="G106" i="7"/>
  <c r="E107" i="7"/>
  <c r="H107" i="7" s="1"/>
  <c r="H106" i="7"/>
  <c r="F106" i="7"/>
  <c r="D133" i="7"/>
  <c r="D135" i="7" s="1"/>
  <c r="F133" i="7"/>
  <c r="G133" i="7"/>
  <c r="E134" i="7"/>
  <c r="M133" i="7" s="1"/>
  <c r="E116" i="7"/>
  <c r="M115" i="7" s="1"/>
  <c r="F115" i="7"/>
  <c r="H115" i="7"/>
  <c r="H124" i="7"/>
  <c r="E125" i="7"/>
  <c r="F125" i="7" s="1"/>
  <c r="G124" i="7"/>
  <c r="F124" i="7"/>
  <c r="D151" i="7"/>
  <c r="L152" i="7" s="1"/>
  <c r="G144" i="7"/>
  <c r="F144" i="7"/>
  <c r="H144" i="7"/>
  <c r="E145" i="7"/>
  <c r="K127" i="7"/>
  <c r="M126" i="7"/>
  <c r="E161" i="7"/>
  <c r="F161" i="7" s="1"/>
  <c r="J162" i="7" s="1"/>
  <c r="J173" i="7"/>
  <c r="J174" i="7" s="1"/>
  <c r="M909" i="7"/>
  <c r="J910" i="7"/>
  <c r="L144" i="7"/>
  <c r="D127" i="7"/>
  <c r="L128" i="7" s="1"/>
  <c r="L126" i="7"/>
  <c r="G152" i="7"/>
  <c r="E153" i="7"/>
  <c r="H152" i="7"/>
  <c r="F152" i="7"/>
  <c r="AG28" i="2"/>
  <c r="A187" i="7"/>
  <c r="A188" i="7" s="1"/>
  <c r="A189" i="7" s="1"/>
  <c r="A190" i="7" s="1"/>
  <c r="A191" i="7" s="1"/>
  <c r="A192" i="7" s="1"/>
  <c r="A193" i="7" s="1"/>
  <c r="A194" i="7" s="1"/>
  <c r="A195" i="7" s="1"/>
  <c r="A196" i="7" s="1"/>
  <c r="B185" i="7"/>
  <c r="F98" i="7" l="1"/>
  <c r="H98" i="7"/>
  <c r="G98" i="7"/>
  <c r="E108" i="7"/>
  <c r="M107" i="7" s="1"/>
  <c r="F107" i="7"/>
  <c r="G107" i="7"/>
  <c r="L134" i="7"/>
  <c r="F134" i="7"/>
  <c r="H134" i="7"/>
  <c r="G134" i="7"/>
  <c r="E135" i="7"/>
  <c r="F135" i="7" s="1"/>
  <c r="H116" i="7"/>
  <c r="G116" i="7"/>
  <c r="E117" i="7"/>
  <c r="H117" i="7" s="1"/>
  <c r="G125" i="7"/>
  <c r="H125" i="7"/>
  <c r="E126" i="7"/>
  <c r="M125" i="7" s="1"/>
  <c r="F116" i="7"/>
  <c r="H145" i="7"/>
  <c r="F145" i="7"/>
  <c r="G145" i="7"/>
  <c r="E146" i="7"/>
  <c r="E162" i="7"/>
  <c r="M161" i="7" s="1"/>
  <c r="G161" i="7"/>
  <c r="J161" i="7" s="1"/>
  <c r="H161" i="7"/>
  <c r="I161" i="7" s="1"/>
  <c r="D153" i="7"/>
  <c r="D155" i="7" s="1"/>
  <c r="M143" i="7"/>
  <c r="K129" i="7"/>
  <c r="K133" i="7" s="1"/>
  <c r="M128" i="7"/>
  <c r="E171" i="7"/>
  <c r="E172" i="7" s="1"/>
  <c r="M171" i="7" s="1"/>
  <c r="J183" i="7"/>
  <c r="J184" i="7" s="1"/>
  <c r="M919" i="7"/>
  <c r="J920" i="7"/>
  <c r="L148" i="7"/>
  <c r="L146" i="7"/>
  <c r="D137" i="7"/>
  <c r="L138" i="7" s="1"/>
  <c r="L136" i="7"/>
  <c r="H153" i="7"/>
  <c r="F153" i="7"/>
  <c r="G153" i="7"/>
  <c r="E154" i="7"/>
  <c r="M153" i="7" s="1"/>
  <c r="AG29" i="2"/>
  <c r="B195" i="7"/>
  <c r="A197" i="7"/>
  <c r="A198" i="7" s="1"/>
  <c r="A199" i="7" s="1"/>
  <c r="A200" i="7" s="1"/>
  <c r="A201" i="7" s="1"/>
  <c r="A202" i="7" s="1"/>
  <c r="A203" i="7" s="1"/>
  <c r="A204" i="7" s="1"/>
  <c r="A205" i="7" s="1"/>
  <c r="A206" i="7" s="1"/>
  <c r="F108" i="7" l="1"/>
  <c r="H108" i="7"/>
  <c r="G108" i="7"/>
  <c r="E136" i="7"/>
  <c r="M135" i="7" s="1"/>
  <c r="G135" i="7"/>
  <c r="H135" i="7"/>
  <c r="G117" i="7"/>
  <c r="F117" i="7"/>
  <c r="E118" i="7"/>
  <c r="M117" i="7" s="1"/>
  <c r="E127" i="7"/>
  <c r="E128" i="7" s="1"/>
  <c r="M127" i="7" s="1"/>
  <c r="F126" i="7"/>
  <c r="H126" i="7"/>
  <c r="G126" i="7"/>
  <c r="L154" i="7"/>
  <c r="D161" i="7"/>
  <c r="L162" i="7" s="1"/>
  <c r="H171" i="7"/>
  <c r="I171" i="7" s="1"/>
  <c r="H162" i="7"/>
  <c r="F171" i="7"/>
  <c r="J172" i="7" s="1"/>
  <c r="G171" i="7"/>
  <c r="J171" i="7" s="1"/>
  <c r="F162" i="7"/>
  <c r="G162" i="7"/>
  <c r="E163" i="7"/>
  <c r="H163" i="7" s="1"/>
  <c r="F146" i="7"/>
  <c r="H146" i="7"/>
  <c r="G146" i="7"/>
  <c r="E147" i="7"/>
  <c r="K135" i="7"/>
  <c r="M134" i="7"/>
  <c r="J193" i="7"/>
  <c r="J194" i="7" s="1"/>
  <c r="E181" i="7"/>
  <c r="E182" i="7" s="1"/>
  <c r="M181" i="7" s="1"/>
  <c r="M929" i="7"/>
  <c r="J930" i="7"/>
  <c r="D157" i="7"/>
  <c r="L158" i="7" s="1"/>
  <c r="L156" i="7"/>
  <c r="G154" i="7"/>
  <c r="H154" i="7"/>
  <c r="E155" i="7"/>
  <c r="F154" i="7"/>
  <c r="AG30" i="2"/>
  <c r="H172" i="7"/>
  <c r="G172" i="7"/>
  <c r="F172" i="7"/>
  <c r="E173" i="7"/>
  <c r="A207" i="7"/>
  <c r="A208" i="7" s="1"/>
  <c r="A209" i="7" s="1"/>
  <c r="A210" i="7" s="1"/>
  <c r="A211" i="7" s="1"/>
  <c r="A212" i="7" s="1"/>
  <c r="A213" i="7" s="1"/>
  <c r="A214" i="7" s="1"/>
  <c r="A215" i="7" s="1"/>
  <c r="A216" i="7" s="1"/>
  <c r="B205" i="7"/>
  <c r="F136" i="7" l="1"/>
  <c r="G136" i="7"/>
  <c r="H136" i="7"/>
  <c r="E137" i="7"/>
  <c r="E138" i="7" s="1"/>
  <c r="M137" i="7" s="1"/>
  <c r="H127" i="7"/>
  <c r="G127" i="7"/>
  <c r="F127" i="7"/>
  <c r="F118" i="7"/>
  <c r="G118" i="7"/>
  <c r="H118" i="7"/>
  <c r="D171" i="7"/>
  <c r="L172" i="7" s="1"/>
  <c r="D163" i="7"/>
  <c r="L164" i="7" s="1"/>
  <c r="G163" i="7"/>
  <c r="F163" i="7"/>
  <c r="E164" i="7"/>
  <c r="M163" i="7" s="1"/>
  <c r="G147" i="7"/>
  <c r="H147" i="7"/>
  <c r="F147" i="7"/>
  <c r="E148" i="7"/>
  <c r="M145" i="7"/>
  <c r="F181" i="7"/>
  <c r="J182" i="7" s="1"/>
  <c r="G181" i="7"/>
  <c r="J181" i="7" s="1"/>
  <c r="K137" i="7"/>
  <c r="M136" i="7"/>
  <c r="E191" i="7"/>
  <c r="F191" i="7" s="1"/>
  <c r="J192" i="7" s="1"/>
  <c r="J203" i="7"/>
  <c r="J204" i="7" s="1"/>
  <c r="H181" i="7"/>
  <c r="I181" i="7" s="1"/>
  <c r="J940" i="7"/>
  <c r="M939" i="7"/>
  <c r="E156" i="7"/>
  <c r="M155" i="7" s="1"/>
  <c r="F155" i="7"/>
  <c r="H155" i="7"/>
  <c r="G155" i="7"/>
  <c r="AG31" i="2"/>
  <c r="E183" i="7"/>
  <c r="H182" i="7"/>
  <c r="G182" i="7"/>
  <c r="F182" i="7"/>
  <c r="E174" i="7"/>
  <c r="M173" i="7" s="1"/>
  <c r="H173" i="7"/>
  <c r="G173" i="7"/>
  <c r="F173" i="7"/>
  <c r="G128" i="7"/>
  <c r="F128" i="7"/>
  <c r="H128" i="7"/>
  <c r="B215" i="7"/>
  <c r="A217" i="7"/>
  <c r="A218" i="7" s="1"/>
  <c r="A219" i="7" s="1"/>
  <c r="A220" i="7" s="1"/>
  <c r="A221" i="7" s="1"/>
  <c r="A222" i="7" s="1"/>
  <c r="A223" i="7" s="1"/>
  <c r="A224" i="7" s="1"/>
  <c r="A225" i="7" s="1"/>
  <c r="A226" i="7" s="1"/>
  <c r="H137" i="7" l="1"/>
  <c r="G137" i="7"/>
  <c r="F137" i="7"/>
  <c r="D173" i="7"/>
  <c r="L174" i="7" s="1"/>
  <c r="D165" i="7"/>
  <c r="L166" i="7" s="1"/>
  <c r="D181" i="7"/>
  <c r="D183" i="7" s="1"/>
  <c r="H164" i="7"/>
  <c r="E165" i="7"/>
  <c r="E166" i="7" s="1"/>
  <c r="M165" i="7" s="1"/>
  <c r="F164" i="7"/>
  <c r="G164" i="7"/>
  <c r="H191" i="7"/>
  <c r="I191" i="7" s="1"/>
  <c r="H148" i="7"/>
  <c r="G148" i="7"/>
  <c r="F148" i="7"/>
  <c r="E192" i="7"/>
  <c r="M191" i="7" s="1"/>
  <c r="G191" i="7"/>
  <c r="J191" i="7" s="1"/>
  <c r="K139" i="7"/>
  <c r="K143" i="7" s="1"/>
  <c r="M138" i="7"/>
  <c r="E201" i="7"/>
  <c r="H201" i="7" s="1"/>
  <c r="I201" i="7" s="1"/>
  <c r="J213" i="7"/>
  <c r="J214" i="7" s="1"/>
  <c r="M949" i="7"/>
  <c r="J950" i="7"/>
  <c r="L182" i="7"/>
  <c r="D175" i="7"/>
  <c r="H156" i="7"/>
  <c r="F156" i="7"/>
  <c r="G156" i="7"/>
  <c r="E157" i="7"/>
  <c r="AG32" i="2"/>
  <c r="E175" i="7"/>
  <c r="F174" i="7"/>
  <c r="H174" i="7"/>
  <c r="G174" i="7"/>
  <c r="H138" i="7"/>
  <c r="G138" i="7"/>
  <c r="F138" i="7"/>
  <c r="E184" i="7"/>
  <c r="M183" i="7" s="1"/>
  <c r="H183" i="7"/>
  <c r="G183" i="7"/>
  <c r="F183" i="7"/>
  <c r="B225" i="7"/>
  <c r="A227" i="7"/>
  <c r="A228" i="7" s="1"/>
  <c r="A229" i="7" s="1"/>
  <c r="A230" i="7" s="1"/>
  <c r="A231" i="7" s="1"/>
  <c r="A232" i="7" s="1"/>
  <c r="A233" i="7" s="1"/>
  <c r="A234" i="7" s="1"/>
  <c r="A235" i="7" s="1"/>
  <c r="A236" i="7" s="1"/>
  <c r="D167" i="7" l="1"/>
  <c r="L168" i="7" s="1"/>
  <c r="H165" i="7"/>
  <c r="D191" i="7"/>
  <c r="D193" i="7" s="1"/>
  <c r="F165" i="7"/>
  <c r="G165" i="7"/>
  <c r="H192" i="7"/>
  <c r="F192" i="7"/>
  <c r="E193" i="7"/>
  <c r="E194" i="7" s="1"/>
  <c r="M193" i="7" s="1"/>
  <c r="G192" i="7"/>
  <c r="M147" i="7"/>
  <c r="E211" i="7"/>
  <c r="E212" i="7" s="1"/>
  <c r="M211" i="7" s="1"/>
  <c r="F201" i="7"/>
  <c r="J202" i="7" s="1"/>
  <c r="G201" i="7"/>
  <c r="J201" i="7" s="1"/>
  <c r="D201" i="7" s="1"/>
  <c r="E202" i="7"/>
  <c r="M201" i="7" s="1"/>
  <c r="K145" i="7"/>
  <c r="M144" i="7"/>
  <c r="J223" i="7"/>
  <c r="J224" i="7" s="1"/>
  <c r="M959" i="7"/>
  <c r="J960" i="7"/>
  <c r="L192" i="7"/>
  <c r="D177" i="7"/>
  <c r="L178" i="7" s="1"/>
  <c r="L176" i="7"/>
  <c r="D185" i="7"/>
  <c r="L184" i="7"/>
  <c r="H157" i="7"/>
  <c r="F157" i="7"/>
  <c r="G157" i="7"/>
  <c r="E158" i="7"/>
  <c r="M157" i="7" s="1"/>
  <c r="AG33" i="2"/>
  <c r="G184" i="7"/>
  <c r="F184" i="7"/>
  <c r="E185" i="7"/>
  <c r="H184" i="7"/>
  <c r="F175" i="7"/>
  <c r="G175" i="7"/>
  <c r="E176" i="7"/>
  <c r="M175" i="7" s="1"/>
  <c r="H175" i="7"/>
  <c r="H166" i="7"/>
  <c r="G166" i="7"/>
  <c r="E167" i="7"/>
  <c r="F166" i="7"/>
  <c r="B235" i="7"/>
  <c r="A237" i="7"/>
  <c r="A238" i="7" s="1"/>
  <c r="A239" i="7" s="1"/>
  <c r="A240" i="7" s="1"/>
  <c r="A241" i="7" s="1"/>
  <c r="A242" i="7" s="1"/>
  <c r="A243" i="7" s="1"/>
  <c r="A244" i="7" s="1"/>
  <c r="A245" i="7" s="1"/>
  <c r="A246" i="7" s="1"/>
  <c r="G193" i="7" l="1"/>
  <c r="F193" i="7"/>
  <c r="H193" i="7"/>
  <c r="H211" i="7"/>
  <c r="I211" i="7" s="1"/>
  <c r="G211" i="7"/>
  <c r="J211" i="7" s="1"/>
  <c r="F211" i="7"/>
  <c r="J212" i="7" s="1"/>
  <c r="E203" i="7"/>
  <c r="H203" i="7" s="1"/>
  <c r="H202" i="7"/>
  <c r="G202" i="7"/>
  <c r="F202" i="7"/>
  <c r="K147" i="7"/>
  <c r="M146" i="7"/>
  <c r="E221" i="7"/>
  <c r="H221" i="7" s="1"/>
  <c r="I221" i="7" s="1"/>
  <c r="J233" i="7"/>
  <c r="J234" i="7" s="1"/>
  <c r="M969" i="7"/>
  <c r="J970" i="7"/>
  <c r="J980" i="7" s="1"/>
  <c r="J990" i="7" s="1"/>
  <c r="D203" i="7"/>
  <c r="L202" i="7"/>
  <c r="D187" i="7"/>
  <c r="L188" i="7" s="1"/>
  <c r="L186" i="7"/>
  <c r="D195" i="7"/>
  <c r="L194" i="7"/>
  <c r="F158" i="7"/>
  <c r="G158" i="7"/>
  <c r="H158" i="7"/>
  <c r="AG34" i="2"/>
  <c r="F176" i="7"/>
  <c r="H176" i="7"/>
  <c r="G176" i="7"/>
  <c r="E177" i="7"/>
  <c r="G185" i="7"/>
  <c r="H185" i="7"/>
  <c r="F185" i="7"/>
  <c r="E186" i="7"/>
  <c r="M185" i="7" s="1"/>
  <c r="H167" i="7"/>
  <c r="G167" i="7"/>
  <c r="E168" i="7"/>
  <c r="M167" i="7" s="1"/>
  <c r="F167" i="7"/>
  <c r="H194" i="7"/>
  <c r="G194" i="7"/>
  <c r="F194" i="7"/>
  <c r="E195" i="7"/>
  <c r="H212" i="7"/>
  <c r="G212" i="7"/>
  <c r="E213" i="7"/>
  <c r="F212" i="7"/>
  <c r="A247" i="7"/>
  <c r="A248" i="7" s="1"/>
  <c r="A249" i="7" s="1"/>
  <c r="A250" i="7" s="1"/>
  <c r="A251" i="7" s="1"/>
  <c r="A252" i="7" s="1"/>
  <c r="A253" i="7" s="1"/>
  <c r="A254" i="7" s="1"/>
  <c r="A255" i="7" s="1"/>
  <c r="A256" i="7" s="1"/>
  <c r="B245" i="7"/>
  <c r="D211" i="7" l="1"/>
  <c r="F203" i="7"/>
  <c r="E204" i="7"/>
  <c r="M203" i="7" s="1"/>
  <c r="G203" i="7"/>
  <c r="F221" i="7"/>
  <c r="J222" i="7" s="1"/>
  <c r="E222" i="7"/>
  <c r="M221" i="7" s="1"/>
  <c r="G221" i="7"/>
  <c r="J221" i="7" s="1"/>
  <c r="D221" i="7" s="1"/>
  <c r="K149" i="7"/>
  <c r="K153" i="7" s="1"/>
  <c r="M148" i="7"/>
  <c r="E231" i="7"/>
  <c r="G231" i="7" s="1"/>
  <c r="J231" i="7" s="1"/>
  <c r="J243" i="7"/>
  <c r="J244" i="7" s="1"/>
  <c r="M979" i="7"/>
  <c r="D213" i="7"/>
  <c r="L212" i="7"/>
  <c r="D197" i="7"/>
  <c r="L198" i="7" s="1"/>
  <c r="L196" i="7"/>
  <c r="D205" i="7"/>
  <c r="L204" i="7"/>
  <c r="AG35" i="2"/>
  <c r="H168" i="7"/>
  <c r="G168" i="7"/>
  <c r="F168" i="7"/>
  <c r="H186" i="7"/>
  <c r="E187" i="7"/>
  <c r="G186" i="7"/>
  <c r="F186" i="7"/>
  <c r="F213" i="7"/>
  <c r="E214" i="7"/>
  <c r="M213" i="7" s="1"/>
  <c r="H213" i="7"/>
  <c r="G213" i="7"/>
  <c r="E196" i="7"/>
  <c r="M195" i="7" s="1"/>
  <c r="H195" i="7"/>
  <c r="G195" i="7"/>
  <c r="F195" i="7"/>
  <c r="F177" i="7"/>
  <c r="H177" i="7"/>
  <c r="E178" i="7"/>
  <c r="M177" i="7" s="1"/>
  <c r="G177" i="7"/>
  <c r="A257" i="7"/>
  <c r="A258" i="7" s="1"/>
  <c r="A259" i="7" s="1"/>
  <c r="A260" i="7" s="1"/>
  <c r="A261" i="7" s="1"/>
  <c r="A262" i="7" s="1"/>
  <c r="A263" i="7" s="1"/>
  <c r="A264" i="7" s="1"/>
  <c r="A265" i="7" s="1"/>
  <c r="A266" i="7" s="1"/>
  <c r="B255" i="7"/>
  <c r="H222" i="7" l="1"/>
  <c r="F222" i="7"/>
  <c r="F204" i="7"/>
  <c r="H204" i="7"/>
  <c r="G204" i="7"/>
  <c r="G222" i="7"/>
  <c r="E205" i="7"/>
  <c r="G205" i="7" s="1"/>
  <c r="F231" i="7"/>
  <c r="J232" i="7" s="1"/>
  <c r="H231" i="7"/>
  <c r="I231" i="7" s="1"/>
  <c r="D231" i="7" s="1"/>
  <c r="E232" i="7"/>
  <c r="M231" i="7" s="1"/>
  <c r="E223" i="7"/>
  <c r="E224" i="7" s="1"/>
  <c r="M223" i="7" s="1"/>
  <c r="E241" i="7"/>
  <c r="F241" i="7" s="1"/>
  <c r="J242" i="7" s="1"/>
  <c r="K155" i="7"/>
  <c r="M154" i="7"/>
  <c r="J253" i="7"/>
  <c r="J254" i="7" s="1"/>
  <c r="M989" i="7"/>
  <c r="D223" i="7"/>
  <c r="L222" i="7"/>
  <c r="D207" i="7"/>
  <c r="L208" i="7" s="1"/>
  <c r="L206" i="7"/>
  <c r="D215" i="7"/>
  <c r="L214" i="7"/>
  <c r="AG36" i="2"/>
  <c r="E188" i="7"/>
  <c r="M187" i="7" s="1"/>
  <c r="H187" i="7"/>
  <c r="G187" i="7"/>
  <c r="F187" i="7"/>
  <c r="E197" i="7"/>
  <c r="F196" i="7"/>
  <c r="H196" i="7"/>
  <c r="G196" i="7"/>
  <c r="H178" i="7"/>
  <c r="G178" i="7"/>
  <c r="F178" i="7"/>
  <c r="H214" i="7"/>
  <c r="E215" i="7"/>
  <c r="F214" i="7"/>
  <c r="G214" i="7"/>
  <c r="A267" i="7"/>
  <c r="A268" i="7" s="1"/>
  <c r="A269" i="7" s="1"/>
  <c r="A270" i="7" s="1"/>
  <c r="A271" i="7" s="1"/>
  <c r="A272" i="7" s="1"/>
  <c r="A273" i="7" s="1"/>
  <c r="A274" i="7" s="1"/>
  <c r="A275" i="7" s="1"/>
  <c r="A276" i="7" s="1"/>
  <c r="B265" i="7"/>
  <c r="H205" i="7" l="1"/>
  <c r="E206" i="7"/>
  <c r="M205" i="7" s="1"/>
  <c r="F205" i="7"/>
  <c r="G232" i="7"/>
  <c r="H232" i="7"/>
  <c r="E233" i="7"/>
  <c r="H233" i="7" s="1"/>
  <c r="H241" i="7"/>
  <c r="I241" i="7" s="1"/>
  <c r="G241" i="7"/>
  <c r="J241" i="7" s="1"/>
  <c r="E242" i="7"/>
  <c r="M241" i="7" s="1"/>
  <c r="F223" i="7"/>
  <c r="G223" i="7"/>
  <c r="H223" i="7"/>
  <c r="F232" i="7"/>
  <c r="E251" i="7"/>
  <c r="G251" i="7" s="1"/>
  <c r="J251" i="7" s="1"/>
  <c r="K157" i="7"/>
  <c r="M156" i="7"/>
  <c r="J263" i="7"/>
  <c r="J264" i="7" s="1"/>
  <c r="D217" i="7"/>
  <c r="L218" i="7" s="1"/>
  <c r="L216" i="7"/>
  <c r="D233" i="7"/>
  <c r="L232" i="7"/>
  <c r="D225" i="7"/>
  <c r="L224" i="7"/>
  <c r="AG37" i="2"/>
  <c r="F188" i="7"/>
  <c r="G188" i="7"/>
  <c r="H188" i="7"/>
  <c r="F197" i="7"/>
  <c r="G197" i="7"/>
  <c r="H197" i="7"/>
  <c r="E198" i="7"/>
  <c r="M197" i="7" s="1"/>
  <c r="G224" i="7"/>
  <c r="F224" i="7"/>
  <c r="H224" i="7"/>
  <c r="E225" i="7"/>
  <c r="E207" i="7"/>
  <c r="H206" i="7"/>
  <c r="H215" i="7"/>
  <c r="F215" i="7"/>
  <c r="G215" i="7"/>
  <c r="E216" i="7"/>
  <c r="M215" i="7" s="1"/>
  <c r="B275" i="7"/>
  <c r="A277" i="7"/>
  <c r="A278" i="7" s="1"/>
  <c r="A279" i="7" s="1"/>
  <c r="A280" i="7" s="1"/>
  <c r="A281" i="7" s="1"/>
  <c r="A282" i="7" s="1"/>
  <c r="A283" i="7" s="1"/>
  <c r="A284" i="7" s="1"/>
  <c r="A285" i="7" s="1"/>
  <c r="A286" i="7" s="1"/>
  <c r="F206" i="7" l="1"/>
  <c r="G206" i="7"/>
  <c r="F233" i="7"/>
  <c r="G233" i="7"/>
  <c r="E234" i="7"/>
  <c r="M233" i="7" s="1"/>
  <c r="F242" i="7"/>
  <c r="G242" i="7"/>
  <c r="D241" i="7"/>
  <c r="D243" i="7" s="1"/>
  <c r="F251" i="7"/>
  <c r="J252" i="7" s="1"/>
  <c r="E252" i="7"/>
  <c r="M251" i="7" s="1"/>
  <c r="H251" i="7"/>
  <c r="I251" i="7" s="1"/>
  <c r="D251" i="7" s="1"/>
  <c r="E243" i="7"/>
  <c r="F243" i="7" s="1"/>
  <c r="H242" i="7"/>
  <c r="K159" i="7"/>
  <c r="K163" i="7" s="1"/>
  <c r="M158" i="7"/>
  <c r="J273" i="7"/>
  <c r="J274" i="7" s="1"/>
  <c r="E261" i="7"/>
  <c r="H261" i="7" s="1"/>
  <c r="I261" i="7" s="1"/>
  <c r="D227" i="7"/>
  <c r="L228" i="7" s="1"/>
  <c r="L226" i="7"/>
  <c r="D235" i="7"/>
  <c r="L234" i="7"/>
  <c r="AG38" i="2"/>
  <c r="E226" i="7"/>
  <c r="M225" i="7" s="1"/>
  <c r="H225" i="7"/>
  <c r="G225" i="7"/>
  <c r="F225" i="7"/>
  <c r="H216" i="7"/>
  <c r="G216" i="7"/>
  <c r="E217" i="7"/>
  <c r="F216" i="7"/>
  <c r="G207" i="7"/>
  <c r="H207" i="7"/>
  <c r="F207" i="7"/>
  <c r="E208" i="7"/>
  <c r="M207" i="7" s="1"/>
  <c r="F198" i="7"/>
  <c r="H198" i="7"/>
  <c r="G198" i="7"/>
  <c r="A287" i="7"/>
  <c r="A288" i="7" s="1"/>
  <c r="A289" i="7" s="1"/>
  <c r="A290" i="7" s="1"/>
  <c r="A291" i="7" s="1"/>
  <c r="A292" i="7" s="1"/>
  <c r="A293" i="7" s="1"/>
  <c r="A294" i="7" s="1"/>
  <c r="A295" i="7" s="1"/>
  <c r="A296" i="7" s="1"/>
  <c r="B285" i="7"/>
  <c r="F234" i="7" l="1"/>
  <c r="E235" i="7"/>
  <c r="F235" i="7" s="1"/>
  <c r="G234" i="7"/>
  <c r="H234" i="7"/>
  <c r="G261" i="7"/>
  <c r="J261" i="7" s="1"/>
  <c r="D261" i="7" s="1"/>
  <c r="L242" i="7"/>
  <c r="G252" i="7"/>
  <c r="H252" i="7"/>
  <c r="F252" i="7"/>
  <c r="H243" i="7"/>
  <c r="E253" i="7"/>
  <c r="F253" i="7" s="1"/>
  <c r="G243" i="7"/>
  <c r="E244" i="7"/>
  <c r="M243" i="7" s="1"/>
  <c r="K165" i="7"/>
  <c r="M164" i="7"/>
  <c r="F261" i="7"/>
  <c r="J262" i="7" s="1"/>
  <c r="J283" i="7"/>
  <c r="J284" i="7" s="1"/>
  <c r="E271" i="7"/>
  <c r="E272" i="7" s="1"/>
  <c r="M271" i="7" s="1"/>
  <c r="E262" i="7"/>
  <c r="M261" i="7" s="1"/>
  <c r="D237" i="7"/>
  <c r="L238" i="7" s="1"/>
  <c r="L236" i="7"/>
  <c r="D245" i="7"/>
  <c r="L244" i="7"/>
  <c r="D253" i="7"/>
  <c r="L252" i="7"/>
  <c r="AG39" i="2"/>
  <c r="H235" i="7"/>
  <c r="G235" i="7"/>
  <c r="H208" i="7"/>
  <c r="F208" i="7"/>
  <c r="G208" i="7"/>
  <c r="E227" i="7"/>
  <c r="H226" i="7"/>
  <c r="G226" i="7"/>
  <c r="F226" i="7"/>
  <c r="E218" i="7"/>
  <c r="M217" i="7" s="1"/>
  <c r="H217" i="7"/>
  <c r="G217" i="7"/>
  <c r="F217" i="7"/>
  <c r="B295" i="7"/>
  <c r="A297" i="7"/>
  <c r="A298" i="7" s="1"/>
  <c r="A299" i="7" s="1"/>
  <c r="A300" i="7" s="1"/>
  <c r="A301" i="7" s="1"/>
  <c r="A302" i="7" s="1"/>
  <c r="A303" i="7" s="1"/>
  <c r="A304" i="7" s="1"/>
  <c r="A305" i="7" s="1"/>
  <c r="A306" i="7" s="1"/>
  <c r="E236" i="7" l="1"/>
  <c r="M235" i="7" s="1"/>
  <c r="E254" i="7"/>
  <c r="M253" i="7" s="1"/>
  <c r="G253" i="7"/>
  <c r="H253" i="7"/>
  <c r="E245" i="7"/>
  <c r="H245" i="7" s="1"/>
  <c r="H244" i="7"/>
  <c r="G244" i="7"/>
  <c r="F244" i="7"/>
  <c r="G262" i="7"/>
  <c r="F262" i="7"/>
  <c r="E263" i="7"/>
  <c r="G263" i="7" s="1"/>
  <c r="H262" i="7"/>
  <c r="K167" i="7"/>
  <c r="M166" i="7"/>
  <c r="J293" i="7"/>
  <c r="J294" i="7" s="1"/>
  <c r="H271" i="7"/>
  <c r="I271" i="7" s="1"/>
  <c r="E281" i="7"/>
  <c r="F281" i="7" s="1"/>
  <c r="J282" i="7" s="1"/>
  <c r="F271" i="7"/>
  <c r="J272" i="7" s="1"/>
  <c r="G271" i="7"/>
  <c r="J271" i="7" s="1"/>
  <c r="D255" i="7"/>
  <c r="L254" i="7"/>
  <c r="D263" i="7"/>
  <c r="L262" i="7"/>
  <c r="D247" i="7"/>
  <c r="L248" i="7" s="1"/>
  <c r="L246" i="7"/>
  <c r="AG40" i="2"/>
  <c r="F218" i="7"/>
  <c r="H218" i="7"/>
  <c r="G218" i="7"/>
  <c r="G272" i="7"/>
  <c r="E273" i="7"/>
  <c r="H272" i="7"/>
  <c r="F272" i="7"/>
  <c r="E228" i="7"/>
  <c r="M227" i="7" s="1"/>
  <c r="H227" i="7"/>
  <c r="G227" i="7"/>
  <c r="F227" i="7"/>
  <c r="H236" i="7"/>
  <c r="E237" i="7"/>
  <c r="G236" i="7"/>
  <c r="F236" i="7"/>
  <c r="A307" i="7"/>
  <c r="A308" i="7" s="1"/>
  <c r="A309" i="7" s="1"/>
  <c r="A310" i="7" s="1"/>
  <c r="A311" i="7" s="1"/>
  <c r="A312" i="7" s="1"/>
  <c r="A313" i="7" s="1"/>
  <c r="A314" i="7" s="1"/>
  <c r="A315" i="7" s="1"/>
  <c r="A316" i="7" s="1"/>
  <c r="B305" i="7"/>
  <c r="G254" i="7" l="1"/>
  <c r="H254" i="7"/>
  <c r="E255" i="7"/>
  <c r="G255" i="7" s="1"/>
  <c r="F254" i="7"/>
  <c r="F245" i="7"/>
  <c r="E246" i="7"/>
  <c r="M245" i="7" s="1"/>
  <c r="G245" i="7"/>
  <c r="H263" i="7"/>
  <c r="E264" i="7"/>
  <c r="M263" i="7" s="1"/>
  <c r="F263" i="7"/>
  <c r="D271" i="7"/>
  <c r="L272" i="7" s="1"/>
  <c r="K169" i="7"/>
  <c r="K173" i="7" s="1"/>
  <c r="M168" i="7"/>
  <c r="E282" i="7"/>
  <c r="M281" i="7" s="1"/>
  <c r="J303" i="7"/>
  <c r="J304" i="7" s="1"/>
  <c r="H281" i="7"/>
  <c r="I281" i="7" s="1"/>
  <c r="G281" i="7"/>
  <c r="J281" i="7" s="1"/>
  <c r="E291" i="7"/>
  <c r="G291" i="7" s="1"/>
  <c r="J291" i="7" s="1"/>
  <c r="D265" i="7"/>
  <c r="L264" i="7"/>
  <c r="D257" i="7"/>
  <c r="L258" i="7" s="1"/>
  <c r="L256" i="7"/>
  <c r="AG41" i="2"/>
  <c r="G273" i="7"/>
  <c r="F273" i="7"/>
  <c r="H273" i="7"/>
  <c r="E274" i="7"/>
  <c r="M273" i="7" s="1"/>
  <c r="H237" i="7"/>
  <c r="F237" i="7"/>
  <c r="G237" i="7"/>
  <c r="E238" i="7"/>
  <c r="M237" i="7" s="1"/>
  <c r="G228" i="7"/>
  <c r="F228" i="7"/>
  <c r="H228" i="7"/>
  <c r="A317" i="7"/>
  <c r="A318" i="7" s="1"/>
  <c r="A319" i="7" s="1"/>
  <c r="A320" i="7" s="1"/>
  <c r="A321" i="7" s="1"/>
  <c r="A322" i="7" s="1"/>
  <c r="A323" i="7" s="1"/>
  <c r="A324" i="7" s="1"/>
  <c r="A325" i="7" s="1"/>
  <c r="A326" i="7" s="1"/>
  <c r="B315" i="7"/>
  <c r="F255" i="7" l="1"/>
  <c r="H255" i="7"/>
  <c r="G246" i="7"/>
  <c r="E256" i="7"/>
  <c r="M255" i="7" s="1"/>
  <c r="F246" i="7"/>
  <c r="E247" i="7"/>
  <c r="F247" i="7" s="1"/>
  <c r="H246" i="7"/>
  <c r="G264" i="7"/>
  <c r="E265" i="7"/>
  <c r="G265" i="7" s="1"/>
  <c r="F264" i="7"/>
  <c r="H264" i="7"/>
  <c r="D273" i="7"/>
  <c r="D275" i="7" s="1"/>
  <c r="G282" i="7"/>
  <c r="E292" i="7"/>
  <c r="M291" i="7" s="1"/>
  <c r="F282" i="7"/>
  <c r="H282" i="7"/>
  <c r="E283" i="7"/>
  <c r="G283" i="7" s="1"/>
  <c r="F291" i="7"/>
  <c r="J292" i="7" s="1"/>
  <c r="H291" i="7"/>
  <c r="I291" i="7" s="1"/>
  <c r="D291" i="7" s="1"/>
  <c r="D281" i="7"/>
  <c r="D283" i="7" s="1"/>
  <c r="K175" i="7"/>
  <c r="M174" i="7"/>
  <c r="J313" i="7"/>
  <c r="J314" i="7" s="1"/>
  <c r="E301" i="7"/>
  <c r="H301" i="7" s="1"/>
  <c r="I301" i="7" s="1"/>
  <c r="D267" i="7"/>
  <c r="L268" i="7" s="1"/>
  <c r="L266" i="7"/>
  <c r="AG42" i="2"/>
  <c r="F274" i="7"/>
  <c r="E275" i="7"/>
  <c r="H274" i="7"/>
  <c r="G274" i="7"/>
  <c r="H238" i="7"/>
  <c r="G238" i="7"/>
  <c r="F238" i="7"/>
  <c r="B325" i="7"/>
  <c r="A327" i="7"/>
  <c r="A328" i="7" s="1"/>
  <c r="A329" i="7" s="1"/>
  <c r="A330" i="7" s="1"/>
  <c r="A331" i="7" s="1"/>
  <c r="A332" i="7" s="1"/>
  <c r="A333" i="7" s="1"/>
  <c r="A334" i="7" s="1"/>
  <c r="A335" i="7" s="1"/>
  <c r="A336" i="7" s="1"/>
  <c r="E248" i="7" l="1"/>
  <c r="M247" i="7" s="1"/>
  <c r="H247" i="7"/>
  <c r="G247" i="7"/>
  <c r="E257" i="7"/>
  <c r="F257" i="7" s="1"/>
  <c r="G256" i="7"/>
  <c r="H256" i="7"/>
  <c r="F256" i="7"/>
  <c r="E266" i="7"/>
  <c r="M265" i="7" s="1"/>
  <c r="F265" i="7"/>
  <c r="H265" i="7"/>
  <c r="L274" i="7"/>
  <c r="H292" i="7"/>
  <c r="F292" i="7"/>
  <c r="G292" i="7"/>
  <c r="E293" i="7"/>
  <c r="G293" i="7" s="1"/>
  <c r="L282" i="7"/>
  <c r="E284" i="7"/>
  <c r="M283" i="7" s="1"/>
  <c r="F283" i="7"/>
  <c r="H283" i="7"/>
  <c r="K177" i="7"/>
  <c r="M176" i="7"/>
  <c r="F301" i="7"/>
  <c r="J302" i="7" s="1"/>
  <c r="E302" i="7"/>
  <c r="M301" i="7" s="1"/>
  <c r="E311" i="7"/>
  <c r="H311" i="7" s="1"/>
  <c r="I311" i="7" s="1"/>
  <c r="J323" i="7"/>
  <c r="J324" i="7" s="1"/>
  <c r="G301" i="7"/>
  <c r="J301" i="7" s="1"/>
  <c r="D301" i="7" s="1"/>
  <c r="D277" i="7"/>
  <c r="L278" i="7" s="1"/>
  <c r="L276" i="7"/>
  <c r="D293" i="7"/>
  <c r="L292" i="7"/>
  <c r="D285" i="7"/>
  <c r="L284" i="7"/>
  <c r="AG43" i="2"/>
  <c r="F275" i="7"/>
  <c r="E276" i="7"/>
  <c r="M275" i="7" s="1"/>
  <c r="H275" i="7"/>
  <c r="G275" i="7"/>
  <c r="G248" i="7"/>
  <c r="F248" i="7"/>
  <c r="H248" i="7"/>
  <c r="B335" i="7"/>
  <c r="A337" i="7"/>
  <c r="A338" i="7" s="1"/>
  <c r="A339" i="7" s="1"/>
  <c r="A340" i="7" s="1"/>
  <c r="A341" i="7" s="1"/>
  <c r="A342" i="7" s="1"/>
  <c r="A343" i="7" s="1"/>
  <c r="A344" i="7" s="1"/>
  <c r="A345" i="7" s="1"/>
  <c r="A346" i="7" s="1"/>
  <c r="G257" i="7" l="1"/>
  <c r="E258" i="7"/>
  <c r="M257" i="7" s="1"/>
  <c r="H257" i="7"/>
  <c r="F266" i="7"/>
  <c r="G266" i="7"/>
  <c r="H266" i="7"/>
  <c r="E267" i="7"/>
  <c r="H267" i="7" s="1"/>
  <c r="E294" i="7"/>
  <c r="M293" i="7" s="1"/>
  <c r="H293" i="7"/>
  <c r="F293" i="7"/>
  <c r="G284" i="7"/>
  <c r="H284" i="7"/>
  <c r="F284" i="7"/>
  <c r="F311" i="7"/>
  <c r="J312" i="7" s="1"/>
  <c r="E312" i="7"/>
  <c r="M311" i="7" s="1"/>
  <c r="E285" i="7"/>
  <c r="E286" i="7" s="1"/>
  <c r="M285" i="7" s="1"/>
  <c r="H302" i="7"/>
  <c r="E303" i="7"/>
  <c r="G303" i="7" s="1"/>
  <c r="E321" i="7"/>
  <c r="F321" i="7" s="1"/>
  <c r="J322" i="7" s="1"/>
  <c r="G311" i="7"/>
  <c r="J311" i="7" s="1"/>
  <c r="D311" i="7" s="1"/>
  <c r="K179" i="7"/>
  <c r="K183" i="7" s="1"/>
  <c r="M178" i="7"/>
  <c r="J333" i="7"/>
  <c r="J334" i="7" s="1"/>
  <c r="F302" i="7"/>
  <c r="G302" i="7"/>
  <c r="D303" i="7"/>
  <c r="L302" i="7"/>
  <c r="D287" i="7"/>
  <c r="L288" i="7" s="1"/>
  <c r="L286" i="7"/>
  <c r="D295" i="7"/>
  <c r="L294" i="7"/>
  <c r="AG44" i="2"/>
  <c r="H276" i="7"/>
  <c r="G276" i="7"/>
  <c r="F276" i="7"/>
  <c r="E277" i="7"/>
  <c r="B345" i="7"/>
  <c r="A347" i="7"/>
  <c r="A348" i="7" s="1"/>
  <c r="A349" i="7" s="1"/>
  <c r="A350" i="7" s="1"/>
  <c r="A351" i="7" s="1"/>
  <c r="A352" i="7" s="1"/>
  <c r="A353" i="7" s="1"/>
  <c r="A354" i="7" s="1"/>
  <c r="A355" i="7" s="1"/>
  <c r="A356" i="7" s="1"/>
  <c r="E268" i="7" l="1"/>
  <c r="M267" i="7" s="1"/>
  <c r="F258" i="7"/>
  <c r="G258" i="7"/>
  <c r="F267" i="7"/>
  <c r="G267" i="7"/>
  <c r="H258" i="7"/>
  <c r="H294" i="7"/>
  <c r="F294" i="7"/>
  <c r="G294" i="7"/>
  <c r="E295" i="7"/>
  <c r="E296" i="7" s="1"/>
  <c r="M295" i="7" s="1"/>
  <c r="G285" i="7"/>
  <c r="H312" i="7"/>
  <c r="G312" i="7"/>
  <c r="F312" i="7"/>
  <c r="E313" i="7"/>
  <c r="H313" i="7" s="1"/>
  <c r="H321" i="7"/>
  <c r="I321" i="7" s="1"/>
  <c r="F285" i="7"/>
  <c r="H285" i="7"/>
  <c r="E304" i="7"/>
  <c r="M303" i="7" s="1"/>
  <c r="F303" i="7"/>
  <c r="H303" i="7"/>
  <c r="E322" i="7"/>
  <c r="M321" i="7" s="1"/>
  <c r="G321" i="7"/>
  <c r="J321" i="7" s="1"/>
  <c r="K185" i="7"/>
  <c r="M184" i="7"/>
  <c r="E331" i="7"/>
  <c r="H331" i="7" s="1"/>
  <c r="I331" i="7" s="1"/>
  <c r="J343" i="7"/>
  <c r="J344" i="7" s="1"/>
  <c r="D297" i="7"/>
  <c r="L298" i="7" s="1"/>
  <c r="L296" i="7"/>
  <c r="D313" i="7"/>
  <c r="L312" i="7"/>
  <c r="D305" i="7"/>
  <c r="L304" i="7"/>
  <c r="AG45" i="2"/>
  <c r="H286" i="7"/>
  <c r="G286" i="7"/>
  <c r="F286" i="7"/>
  <c r="E287" i="7"/>
  <c r="H277" i="7"/>
  <c r="E278" i="7"/>
  <c r="M277" i="7" s="1"/>
  <c r="G277" i="7"/>
  <c r="F277" i="7"/>
  <c r="A357" i="7"/>
  <c r="A358" i="7" s="1"/>
  <c r="A359" i="7" s="1"/>
  <c r="A360" i="7" s="1"/>
  <c r="A361" i="7" s="1"/>
  <c r="A362" i="7" s="1"/>
  <c r="A363" i="7" s="1"/>
  <c r="A364" i="7" s="1"/>
  <c r="A365" i="7" s="1"/>
  <c r="A366" i="7" s="1"/>
  <c r="B355" i="7"/>
  <c r="H268" i="7" l="1"/>
  <c r="G268" i="7"/>
  <c r="F268" i="7"/>
  <c r="H295" i="7"/>
  <c r="F295" i="7"/>
  <c r="G295" i="7"/>
  <c r="F304" i="7"/>
  <c r="E305" i="7"/>
  <c r="G305" i="7" s="1"/>
  <c r="D321" i="7"/>
  <c r="L322" i="7" s="1"/>
  <c r="E314" i="7"/>
  <c r="M313" i="7" s="1"/>
  <c r="G313" i="7"/>
  <c r="F313" i="7"/>
  <c r="H304" i="7"/>
  <c r="G322" i="7"/>
  <c r="H322" i="7"/>
  <c r="G304" i="7"/>
  <c r="E323" i="7"/>
  <c r="G323" i="7" s="1"/>
  <c r="F322" i="7"/>
  <c r="E332" i="7"/>
  <c r="M331" i="7" s="1"/>
  <c r="E341" i="7"/>
  <c r="H341" i="7" s="1"/>
  <c r="I341" i="7" s="1"/>
  <c r="F331" i="7"/>
  <c r="J332" i="7" s="1"/>
  <c r="G331" i="7"/>
  <c r="J331" i="7" s="1"/>
  <c r="D331" i="7" s="1"/>
  <c r="K187" i="7"/>
  <c r="M186" i="7"/>
  <c r="J353" i="7"/>
  <c r="J354" i="7" s="1"/>
  <c r="D315" i="7"/>
  <c r="L314" i="7"/>
  <c r="D307" i="7"/>
  <c r="L308" i="7" s="1"/>
  <c r="L306" i="7"/>
  <c r="AG46" i="2"/>
  <c r="F296" i="7"/>
  <c r="H296" i="7"/>
  <c r="G296" i="7"/>
  <c r="E297" i="7"/>
  <c r="E288" i="7"/>
  <c r="M287" i="7" s="1"/>
  <c r="H287" i="7"/>
  <c r="G287" i="7"/>
  <c r="F287" i="7"/>
  <c r="F278" i="7"/>
  <c r="H278" i="7"/>
  <c r="G278" i="7"/>
  <c r="B365" i="7"/>
  <c r="A367" i="7"/>
  <c r="A368" i="7" s="1"/>
  <c r="A369" i="7" s="1"/>
  <c r="A370" i="7" s="1"/>
  <c r="A371" i="7" s="1"/>
  <c r="A372" i="7" s="1"/>
  <c r="A373" i="7" s="1"/>
  <c r="A374" i="7" s="1"/>
  <c r="A375" i="7" s="1"/>
  <c r="A376" i="7" s="1"/>
  <c r="D323" i="7" l="1"/>
  <c r="L324" i="7" s="1"/>
  <c r="F305" i="7"/>
  <c r="H305" i="7"/>
  <c r="E306" i="7"/>
  <c r="M305" i="7" s="1"/>
  <c r="E342" i="7"/>
  <c r="M341" i="7" s="1"/>
  <c r="G314" i="7"/>
  <c r="H314" i="7"/>
  <c r="F314" i="7"/>
  <c r="E315" i="7"/>
  <c r="E316" i="7" s="1"/>
  <c r="M315" i="7" s="1"/>
  <c r="E324" i="7"/>
  <c r="M323" i="7" s="1"/>
  <c r="G332" i="7"/>
  <c r="E333" i="7"/>
  <c r="F333" i="7" s="1"/>
  <c r="F332" i="7"/>
  <c r="H323" i="7"/>
  <c r="F323" i="7"/>
  <c r="F341" i="7"/>
  <c r="J342" i="7" s="1"/>
  <c r="H332" i="7"/>
  <c r="G341" i="7"/>
  <c r="J341" i="7" s="1"/>
  <c r="D341" i="7" s="1"/>
  <c r="K189" i="7"/>
  <c r="K193" i="7" s="1"/>
  <c r="M188" i="7"/>
  <c r="E351" i="7"/>
  <c r="F351" i="7" s="1"/>
  <c r="J352" i="7" s="1"/>
  <c r="J363" i="7"/>
  <c r="J364" i="7" s="1"/>
  <c r="D333" i="7"/>
  <c r="L332" i="7"/>
  <c r="D325" i="7"/>
  <c r="D317" i="7"/>
  <c r="L318" i="7" s="1"/>
  <c r="L316" i="7"/>
  <c r="AG47" i="2"/>
  <c r="F297" i="7"/>
  <c r="H297" i="7"/>
  <c r="E298" i="7"/>
  <c r="M297" i="7" s="1"/>
  <c r="G297" i="7"/>
  <c r="F288" i="7"/>
  <c r="G288" i="7"/>
  <c r="H288" i="7"/>
  <c r="A377" i="7"/>
  <c r="A378" i="7" s="1"/>
  <c r="A379" i="7" s="1"/>
  <c r="A380" i="7" s="1"/>
  <c r="A381" i="7" s="1"/>
  <c r="A382" i="7" s="1"/>
  <c r="A383" i="7" s="1"/>
  <c r="A384" i="7" s="1"/>
  <c r="A385" i="7" s="1"/>
  <c r="A386" i="7" s="1"/>
  <c r="B375" i="7"/>
  <c r="F306" i="7" l="1"/>
  <c r="G306" i="7"/>
  <c r="F342" i="7"/>
  <c r="E307" i="7"/>
  <c r="H307" i="7" s="1"/>
  <c r="H306" i="7"/>
  <c r="G315" i="7"/>
  <c r="G342" i="7"/>
  <c r="H342" i="7"/>
  <c r="E343" i="7"/>
  <c r="F343" i="7" s="1"/>
  <c r="H315" i="7"/>
  <c r="F315" i="7"/>
  <c r="E325" i="7"/>
  <c r="E326" i="7" s="1"/>
  <c r="M325" i="7" s="1"/>
  <c r="G333" i="7"/>
  <c r="H324" i="7"/>
  <c r="F324" i="7"/>
  <c r="G324" i="7"/>
  <c r="E334" i="7"/>
  <c r="M333" i="7" s="1"/>
  <c r="H333" i="7"/>
  <c r="G351" i="7"/>
  <c r="J351" i="7" s="1"/>
  <c r="E352" i="7"/>
  <c r="M351" i="7" s="1"/>
  <c r="H351" i="7"/>
  <c r="I351" i="7" s="1"/>
  <c r="E361" i="7"/>
  <c r="E362" i="7" s="1"/>
  <c r="M361" i="7" s="1"/>
  <c r="K195" i="7"/>
  <c r="M194" i="7"/>
  <c r="J373" i="7"/>
  <c r="J374" i="7" s="1"/>
  <c r="D343" i="7"/>
  <c r="L342" i="7"/>
  <c r="D327" i="7"/>
  <c r="L328" i="7" s="1"/>
  <c r="L326" i="7"/>
  <c r="D335" i="7"/>
  <c r="L334" i="7"/>
  <c r="AG48" i="2"/>
  <c r="H343" i="7"/>
  <c r="H298" i="7"/>
  <c r="G298" i="7"/>
  <c r="F298" i="7"/>
  <c r="H316" i="7"/>
  <c r="G316" i="7"/>
  <c r="F316" i="7"/>
  <c r="E317" i="7"/>
  <c r="A387" i="7"/>
  <c r="A388" i="7" s="1"/>
  <c r="A389" i="7" s="1"/>
  <c r="A390" i="7" s="1"/>
  <c r="A391" i="7" s="1"/>
  <c r="A392" i="7" s="1"/>
  <c r="A393" i="7" s="1"/>
  <c r="A394" i="7" s="1"/>
  <c r="A395" i="7" s="1"/>
  <c r="A396" i="7" s="1"/>
  <c r="B385" i="7"/>
  <c r="E308" i="7" l="1"/>
  <c r="M307" i="7" s="1"/>
  <c r="G307" i="7"/>
  <c r="F307" i="7"/>
  <c r="G343" i="7"/>
  <c r="E344" i="7"/>
  <c r="M343" i="7" s="1"/>
  <c r="F325" i="7"/>
  <c r="G325" i="7"/>
  <c r="H325" i="7"/>
  <c r="E335" i="7"/>
  <c r="G335" i="7" s="1"/>
  <c r="F334" i="7"/>
  <c r="D351" i="7"/>
  <c r="L352" i="7" s="1"/>
  <c r="G334" i="7"/>
  <c r="H334" i="7"/>
  <c r="E353" i="7"/>
  <c r="F353" i="7" s="1"/>
  <c r="G352" i="7"/>
  <c r="H352" i="7"/>
  <c r="F352" i="7"/>
  <c r="F361" i="7"/>
  <c r="J362" i="7" s="1"/>
  <c r="G361" i="7"/>
  <c r="J361" i="7" s="1"/>
  <c r="H361" i="7"/>
  <c r="I361" i="7" s="1"/>
  <c r="E371" i="7"/>
  <c r="H371" i="7" s="1"/>
  <c r="I371" i="7" s="1"/>
  <c r="K197" i="7"/>
  <c r="M196" i="7"/>
  <c r="J383" i="7"/>
  <c r="J384" i="7" s="1"/>
  <c r="D337" i="7"/>
  <c r="L338" i="7" s="1"/>
  <c r="L336" i="7"/>
  <c r="D345" i="7"/>
  <c r="L344" i="7"/>
  <c r="AG49" i="2"/>
  <c r="G326" i="7"/>
  <c r="H326" i="7"/>
  <c r="F326" i="7"/>
  <c r="E327" i="7"/>
  <c r="F362" i="7"/>
  <c r="G362" i="7"/>
  <c r="E363" i="7"/>
  <c r="H362" i="7"/>
  <c r="E318" i="7"/>
  <c r="M317" i="7" s="1"/>
  <c r="H317" i="7"/>
  <c r="G317" i="7"/>
  <c r="F317" i="7"/>
  <c r="A397" i="7"/>
  <c r="A398" i="7" s="1"/>
  <c r="A399" i="7" s="1"/>
  <c r="A400" i="7" s="1"/>
  <c r="A401" i="7" s="1"/>
  <c r="A402" i="7" s="1"/>
  <c r="A403" i="7" s="1"/>
  <c r="A404" i="7" s="1"/>
  <c r="A405" i="7" s="1"/>
  <c r="A406" i="7" s="1"/>
  <c r="B395" i="7"/>
  <c r="F308" i="7" l="1"/>
  <c r="G308" i="7"/>
  <c r="H308" i="7"/>
  <c r="G344" i="7"/>
  <c r="H344" i="7"/>
  <c r="F344" i="7"/>
  <c r="E345" i="7"/>
  <c r="H345" i="7" s="1"/>
  <c r="H335" i="7"/>
  <c r="E336" i="7"/>
  <c r="M335" i="7" s="1"/>
  <c r="F335" i="7"/>
  <c r="D353" i="7"/>
  <c r="D355" i="7" s="1"/>
  <c r="E354" i="7"/>
  <c r="M353" i="7" s="1"/>
  <c r="G353" i="7"/>
  <c r="H353" i="7"/>
  <c r="D361" i="7"/>
  <c r="D363" i="7" s="1"/>
  <c r="F371" i="7"/>
  <c r="J372" i="7" s="1"/>
  <c r="G371" i="7"/>
  <c r="J371" i="7" s="1"/>
  <c r="D371" i="7" s="1"/>
  <c r="E372" i="7"/>
  <c r="M371" i="7" s="1"/>
  <c r="K199" i="7"/>
  <c r="K203" i="7" s="1"/>
  <c r="M198" i="7"/>
  <c r="E381" i="7"/>
  <c r="H381" i="7" s="1"/>
  <c r="I381" i="7" s="1"/>
  <c r="J393" i="7"/>
  <c r="J394" i="7" s="1"/>
  <c r="L362" i="7"/>
  <c r="D347" i="7"/>
  <c r="L348" i="7" s="1"/>
  <c r="L346" i="7"/>
  <c r="AG50" i="2"/>
  <c r="G363" i="7"/>
  <c r="F363" i="7"/>
  <c r="H363" i="7"/>
  <c r="E364" i="7"/>
  <c r="M363" i="7" s="1"/>
  <c r="G327" i="7"/>
  <c r="E328" i="7"/>
  <c r="M327" i="7" s="1"/>
  <c r="H327" i="7"/>
  <c r="F327" i="7"/>
  <c r="F318" i="7"/>
  <c r="G318" i="7"/>
  <c r="H318" i="7"/>
  <c r="B405" i="7"/>
  <c r="A407" i="7"/>
  <c r="A408" i="7" s="1"/>
  <c r="A409" i="7" s="1"/>
  <c r="A410" i="7" s="1"/>
  <c r="A411" i="7" s="1"/>
  <c r="A412" i="7" s="1"/>
  <c r="A413" i="7" s="1"/>
  <c r="A414" i="7" s="1"/>
  <c r="A415" i="7" s="1"/>
  <c r="A416" i="7" s="1"/>
  <c r="E346" i="7" l="1"/>
  <c r="M345" i="7" s="1"/>
  <c r="F345" i="7"/>
  <c r="G345" i="7"/>
  <c r="G336" i="7"/>
  <c r="F336" i="7"/>
  <c r="E337" i="7"/>
  <c r="E338" i="7" s="1"/>
  <c r="M337" i="7" s="1"/>
  <c r="H336" i="7"/>
  <c r="G354" i="7"/>
  <c r="H354" i="7"/>
  <c r="E355" i="7"/>
  <c r="H355" i="7" s="1"/>
  <c r="L354" i="7"/>
  <c r="F354" i="7"/>
  <c r="E373" i="7"/>
  <c r="H373" i="7" s="1"/>
  <c r="F381" i="7"/>
  <c r="J382" i="7" s="1"/>
  <c r="G372" i="7"/>
  <c r="H372" i="7"/>
  <c r="F372" i="7"/>
  <c r="E382" i="7"/>
  <c r="M381" i="7" s="1"/>
  <c r="E391" i="7"/>
  <c r="F391" i="7" s="1"/>
  <c r="J392" i="7" s="1"/>
  <c r="G381" i="7"/>
  <c r="J381" i="7" s="1"/>
  <c r="D381" i="7" s="1"/>
  <c r="K205" i="7"/>
  <c r="M204" i="7"/>
  <c r="J403" i="7"/>
  <c r="J404" i="7" s="1"/>
  <c r="D373" i="7"/>
  <c r="L372" i="7"/>
  <c r="D357" i="7"/>
  <c r="L358" i="7" s="1"/>
  <c r="L356" i="7"/>
  <c r="D365" i="7"/>
  <c r="L364" i="7"/>
  <c r="AG51" i="2"/>
  <c r="H364" i="7"/>
  <c r="E365" i="7"/>
  <c r="G364" i="7"/>
  <c r="F364" i="7"/>
  <c r="F328" i="7"/>
  <c r="H328" i="7"/>
  <c r="G328" i="7"/>
  <c r="B415" i="7"/>
  <c r="A417" i="7"/>
  <c r="A418" i="7" s="1"/>
  <c r="A419" i="7" s="1"/>
  <c r="A420" i="7" s="1"/>
  <c r="A421" i="7" s="1"/>
  <c r="A422" i="7" s="1"/>
  <c r="A423" i="7" s="1"/>
  <c r="A424" i="7" s="1"/>
  <c r="A425" i="7" s="1"/>
  <c r="A426" i="7" s="1"/>
  <c r="F346" i="7" l="1"/>
  <c r="H346" i="7"/>
  <c r="G346" i="7"/>
  <c r="E347" i="7"/>
  <c r="E348" i="7" s="1"/>
  <c r="M347" i="7" s="1"/>
  <c r="G337" i="7"/>
  <c r="F337" i="7"/>
  <c r="F355" i="7"/>
  <c r="H337" i="7"/>
  <c r="E356" i="7"/>
  <c r="M355" i="7" s="1"/>
  <c r="G355" i="7"/>
  <c r="E374" i="7"/>
  <c r="M373" i="7" s="1"/>
  <c r="F373" i="7"/>
  <c r="G373" i="7"/>
  <c r="E392" i="7"/>
  <c r="M391" i="7" s="1"/>
  <c r="H391" i="7"/>
  <c r="I391" i="7" s="1"/>
  <c r="F382" i="7"/>
  <c r="H382" i="7"/>
  <c r="G382" i="7"/>
  <c r="E383" i="7"/>
  <c r="F383" i="7" s="1"/>
  <c r="G391" i="7"/>
  <c r="J391" i="7" s="1"/>
  <c r="E401" i="7"/>
  <c r="F401" i="7" s="1"/>
  <c r="J402" i="7" s="1"/>
  <c r="K207" i="7"/>
  <c r="M206" i="7"/>
  <c r="M418" i="7"/>
  <c r="J413" i="7"/>
  <c r="J414" i="7" s="1"/>
  <c r="D383" i="7"/>
  <c r="L382" i="7"/>
  <c r="D367" i="7"/>
  <c r="L368" i="7" s="1"/>
  <c r="L366" i="7"/>
  <c r="D375" i="7"/>
  <c r="L374" i="7"/>
  <c r="AG52" i="2"/>
  <c r="F338" i="7"/>
  <c r="H338" i="7"/>
  <c r="G338" i="7"/>
  <c r="H365" i="7"/>
  <c r="F365" i="7"/>
  <c r="E366" i="7"/>
  <c r="M365" i="7" s="1"/>
  <c r="G365" i="7"/>
  <c r="A427" i="7"/>
  <c r="A428" i="7" s="1"/>
  <c r="A429" i="7" s="1"/>
  <c r="A430" i="7" s="1"/>
  <c r="A431" i="7" s="1"/>
  <c r="A432" i="7" s="1"/>
  <c r="A433" i="7" s="1"/>
  <c r="A434" i="7" s="1"/>
  <c r="A435" i="7" s="1"/>
  <c r="A436" i="7" s="1"/>
  <c r="B425" i="7"/>
  <c r="G347" i="7" l="1"/>
  <c r="H347" i="7"/>
  <c r="F347" i="7"/>
  <c r="E375" i="7"/>
  <c r="G375" i="7" s="1"/>
  <c r="H374" i="7"/>
  <c r="F356" i="7"/>
  <c r="E357" i="7"/>
  <c r="F357" i="7" s="1"/>
  <c r="F374" i="7"/>
  <c r="G374" i="7"/>
  <c r="G356" i="7"/>
  <c r="H356" i="7"/>
  <c r="F392" i="7"/>
  <c r="H392" i="7"/>
  <c r="E393" i="7"/>
  <c r="H393" i="7" s="1"/>
  <c r="E411" i="7"/>
  <c r="H411" i="7" s="1"/>
  <c r="I411" i="7" s="1"/>
  <c r="G392" i="7"/>
  <c r="D391" i="7"/>
  <c r="D393" i="7" s="1"/>
  <c r="E384" i="7"/>
  <c r="M383" i="7" s="1"/>
  <c r="H383" i="7"/>
  <c r="H401" i="7"/>
  <c r="I401" i="7" s="1"/>
  <c r="G383" i="7"/>
  <c r="G401" i="7"/>
  <c r="J401" i="7" s="1"/>
  <c r="E402" i="7"/>
  <c r="M401" i="7" s="1"/>
  <c r="K209" i="7"/>
  <c r="K213" i="7" s="1"/>
  <c r="M208" i="7"/>
  <c r="J423" i="7"/>
  <c r="J424" i="7" s="1"/>
  <c r="D377" i="7"/>
  <c r="L378" i="7" s="1"/>
  <c r="L376" i="7"/>
  <c r="D385" i="7"/>
  <c r="L384" i="7"/>
  <c r="AG53" i="2"/>
  <c r="F366" i="7"/>
  <c r="E367" i="7"/>
  <c r="H366" i="7"/>
  <c r="G366" i="7"/>
  <c r="G348" i="7"/>
  <c r="F348" i="7"/>
  <c r="H348" i="7"/>
  <c r="B435" i="7"/>
  <c r="A437" i="7"/>
  <c r="A438" i="7" s="1"/>
  <c r="A439" i="7" s="1"/>
  <c r="A440" i="7" s="1"/>
  <c r="A441" i="7" s="1"/>
  <c r="A442" i="7" s="1"/>
  <c r="A443" i="7" s="1"/>
  <c r="A444" i="7" s="1"/>
  <c r="A445" i="7" s="1"/>
  <c r="A446" i="7" s="1"/>
  <c r="E376" i="7" l="1"/>
  <c r="M375" i="7" s="1"/>
  <c r="H375" i="7"/>
  <c r="F375" i="7"/>
  <c r="H357" i="7"/>
  <c r="G357" i="7"/>
  <c r="G411" i="7"/>
  <c r="J411" i="7" s="1"/>
  <c r="D411" i="7" s="1"/>
  <c r="L412" i="7" s="1"/>
  <c r="E358" i="7"/>
  <c r="M357" i="7" s="1"/>
  <c r="G393" i="7"/>
  <c r="F411" i="7"/>
  <c r="J412" i="7" s="1"/>
  <c r="E412" i="7"/>
  <c r="M411" i="7" s="1"/>
  <c r="E394" i="7"/>
  <c r="M393" i="7" s="1"/>
  <c r="F393" i="7"/>
  <c r="L392" i="7"/>
  <c r="G384" i="7"/>
  <c r="H384" i="7"/>
  <c r="F384" i="7"/>
  <c r="E385" i="7"/>
  <c r="G385" i="7" s="1"/>
  <c r="D401" i="7"/>
  <c r="D403" i="7" s="1"/>
  <c r="E421" i="7"/>
  <c r="H421" i="7" s="1"/>
  <c r="I421" i="7" s="1"/>
  <c r="E403" i="7"/>
  <c r="F403" i="7" s="1"/>
  <c r="G402" i="7"/>
  <c r="F402" i="7"/>
  <c r="H402" i="7"/>
  <c r="K215" i="7"/>
  <c r="M214" i="7"/>
  <c r="J433" i="7"/>
  <c r="J434" i="7" s="1"/>
  <c r="D387" i="7"/>
  <c r="L388" i="7" s="1"/>
  <c r="L386" i="7"/>
  <c r="D395" i="7"/>
  <c r="L394" i="7"/>
  <c r="AG54" i="2"/>
  <c r="E377" i="7"/>
  <c r="E368" i="7"/>
  <c r="M367" i="7" s="1"/>
  <c r="F367" i="7"/>
  <c r="H367" i="7"/>
  <c r="G367" i="7"/>
  <c r="A447" i="7"/>
  <c r="A448" i="7" s="1"/>
  <c r="A449" i="7" s="1"/>
  <c r="A450" i="7" s="1"/>
  <c r="A451" i="7" s="1"/>
  <c r="A452" i="7" s="1"/>
  <c r="A453" i="7" s="1"/>
  <c r="A454" i="7" s="1"/>
  <c r="A455" i="7" s="1"/>
  <c r="A456" i="7" s="1"/>
  <c r="B445" i="7"/>
  <c r="F376" i="7" l="1"/>
  <c r="H376" i="7"/>
  <c r="G376" i="7"/>
  <c r="H358" i="7"/>
  <c r="G358" i="7"/>
  <c r="F358" i="7"/>
  <c r="E413" i="7"/>
  <c r="E414" i="7" s="1"/>
  <c r="M413" i="7" s="1"/>
  <c r="F412" i="7"/>
  <c r="G412" i="7"/>
  <c r="H412" i="7"/>
  <c r="H394" i="7"/>
  <c r="E395" i="7"/>
  <c r="G395" i="7" s="1"/>
  <c r="G394" i="7"/>
  <c r="F394" i="7"/>
  <c r="H385" i="7"/>
  <c r="E386" i="7"/>
  <c r="M385" i="7" s="1"/>
  <c r="F385" i="7"/>
  <c r="L402" i="7"/>
  <c r="F421" i="7"/>
  <c r="J422" i="7" s="1"/>
  <c r="G421" i="7"/>
  <c r="J421" i="7" s="1"/>
  <c r="D421" i="7" s="1"/>
  <c r="H403" i="7"/>
  <c r="E404" i="7"/>
  <c r="M403" i="7" s="1"/>
  <c r="E422" i="7"/>
  <c r="M421" i="7" s="1"/>
  <c r="G403" i="7"/>
  <c r="E431" i="7"/>
  <c r="H431" i="7" s="1"/>
  <c r="I431" i="7" s="1"/>
  <c r="K217" i="7"/>
  <c r="M216" i="7"/>
  <c r="J443" i="7"/>
  <c r="J444" i="7" s="1"/>
  <c r="D405" i="7"/>
  <c r="L404" i="7"/>
  <c r="D413" i="7"/>
  <c r="D397" i="7"/>
  <c r="L398" i="7" s="1"/>
  <c r="L396" i="7"/>
  <c r="AG55" i="2"/>
  <c r="F377" i="7"/>
  <c r="G377" i="7"/>
  <c r="H377" i="7"/>
  <c r="E378" i="7"/>
  <c r="M377" i="7" s="1"/>
  <c r="F368" i="7"/>
  <c r="G368" i="7"/>
  <c r="H368" i="7"/>
  <c r="A457" i="7"/>
  <c r="A458" i="7" s="1"/>
  <c r="A459" i="7" s="1"/>
  <c r="A460" i="7" s="1"/>
  <c r="A461" i="7" s="1"/>
  <c r="A462" i="7" s="1"/>
  <c r="A463" i="7" s="1"/>
  <c r="A464" i="7" s="1"/>
  <c r="A465" i="7" s="1"/>
  <c r="A466" i="7" s="1"/>
  <c r="B455" i="7"/>
  <c r="G413" i="7" l="1"/>
  <c r="H413" i="7"/>
  <c r="F413" i="7"/>
  <c r="E396" i="7"/>
  <c r="M395" i="7" s="1"/>
  <c r="F395" i="7"/>
  <c r="H395" i="7"/>
  <c r="H386" i="7"/>
  <c r="E387" i="7"/>
  <c r="G387" i="7" s="1"/>
  <c r="G386" i="7"/>
  <c r="F386" i="7"/>
  <c r="E405" i="7"/>
  <c r="E406" i="7" s="1"/>
  <c r="M405" i="7" s="1"/>
  <c r="G404" i="7"/>
  <c r="H404" i="7"/>
  <c r="F404" i="7"/>
  <c r="G431" i="7"/>
  <c r="J431" i="7" s="1"/>
  <c r="D431" i="7" s="1"/>
  <c r="F422" i="7"/>
  <c r="G422" i="7"/>
  <c r="E423" i="7"/>
  <c r="E424" i="7" s="1"/>
  <c r="M423" i="7" s="1"/>
  <c r="F431" i="7"/>
  <c r="J432" i="7" s="1"/>
  <c r="H422" i="7"/>
  <c r="E432" i="7"/>
  <c r="M431" i="7" s="1"/>
  <c r="K219" i="7"/>
  <c r="K223" i="7" s="1"/>
  <c r="M218" i="7"/>
  <c r="J453" i="7"/>
  <c r="J454" i="7" s="1"/>
  <c r="E441" i="7"/>
  <c r="H441" i="7" s="1"/>
  <c r="I441" i="7" s="1"/>
  <c r="D415" i="7"/>
  <c r="L414" i="7"/>
  <c r="D423" i="7"/>
  <c r="L422" i="7"/>
  <c r="D407" i="7"/>
  <c r="L408" i="7" s="1"/>
  <c r="L406" i="7"/>
  <c r="AG56" i="2"/>
  <c r="H378" i="7"/>
  <c r="G378" i="7"/>
  <c r="F378" i="7"/>
  <c r="E415" i="7"/>
  <c r="F414" i="7"/>
  <c r="G414" i="7"/>
  <c r="H414" i="7"/>
  <c r="B465" i="7"/>
  <c r="A467" i="7"/>
  <c r="A468" i="7" s="1"/>
  <c r="A469" i="7" s="1"/>
  <c r="A470" i="7" s="1"/>
  <c r="A471" i="7" s="1"/>
  <c r="A472" i="7" s="1"/>
  <c r="A473" i="7" s="1"/>
  <c r="A474" i="7" s="1"/>
  <c r="A475" i="7" s="1"/>
  <c r="A476" i="7" s="1"/>
  <c r="F396" i="7" l="1"/>
  <c r="G396" i="7"/>
  <c r="H396" i="7"/>
  <c r="E397" i="7"/>
  <c r="G397" i="7" s="1"/>
  <c r="H387" i="7"/>
  <c r="F387" i="7"/>
  <c r="E388" i="7"/>
  <c r="M387" i="7" s="1"/>
  <c r="H405" i="7"/>
  <c r="F405" i="7"/>
  <c r="G405" i="7"/>
  <c r="G441" i="7"/>
  <c r="J441" i="7" s="1"/>
  <c r="D441" i="7" s="1"/>
  <c r="H423" i="7"/>
  <c r="G423" i="7"/>
  <c r="F423" i="7"/>
  <c r="E433" i="7"/>
  <c r="F433" i="7" s="1"/>
  <c r="F432" i="7"/>
  <c r="G432" i="7"/>
  <c r="H432" i="7"/>
  <c r="K225" i="7"/>
  <c r="M224" i="7"/>
  <c r="E442" i="7"/>
  <c r="M441" i="7" s="1"/>
  <c r="J463" i="7"/>
  <c r="J464" i="7" s="1"/>
  <c r="E451" i="7"/>
  <c r="F451" i="7" s="1"/>
  <c r="J452" i="7" s="1"/>
  <c r="F441" i="7"/>
  <c r="J442" i="7" s="1"/>
  <c r="D425" i="7"/>
  <c r="L424" i="7"/>
  <c r="D433" i="7"/>
  <c r="L432" i="7"/>
  <c r="D417" i="7"/>
  <c r="L418" i="7" s="1"/>
  <c r="L416" i="7"/>
  <c r="AG57" i="2"/>
  <c r="E416" i="7"/>
  <c r="M415" i="7" s="1"/>
  <c r="F415" i="7"/>
  <c r="G415" i="7"/>
  <c r="H415" i="7"/>
  <c r="F397" i="7"/>
  <c r="H397" i="7"/>
  <c r="G406" i="7"/>
  <c r="F406" i="7"/>
  <c r="H406" i="7"/>
  <c r="E407" i="7"/>
  <c r="F424" i="7"/>
  <c r="G424" i="7"/>
  <c r="E425" i="7"/>
  <c r="H424" i="7"/>
  <c r="B475" i="7"/>
  <c r="A477" i="7"/>
  <c r="A478" i="7" s="1"/>
  <c r="A479" i="7" s="1"/>
  <c r="A480" i="7" s="1"/>
  <c r="A481" i="7" s="1"/>
  <c r="A482" i="7" s="1"/>
  <c r="A483" i="7" s="1"/>
  <c r="A484" i="7" s="1"/>
  <c r="A485" i="7" s="1"/>
  <c r="A486" i="7" s="1"/>
  <c r="E398" i="7" l="1"/>
  <c r="M397" i="7" s="1"/>
  <c r="H388" i="7"/>
  <c r="G388" i="7"/>
  <c r="F388" i="7"/>
  <c r="F442" i="7"/>
  <c r="E434" i="7"/>
  <c r="M433" i="7" s="1"/>
  <c r="H433" i="7"/>
  <c r="G433" i="7"/>
  <c r="G442" i="7"/>
  <c r="H442" i="7"/>
  <c r="E443" i="7"/>
  <c r="E444" i="7" s="1"/>
  <c r="M443" i="7" s="1"/>
  <c r="K227" i="7"/>
  <c r="M226" i="7"/>
  <c r="H451" i="7"/>
  <c r="I451" i="7" s="1"/>
  <c r="E452" i="7"/>
  <c r="M451" i="7" s="1"/>
  <c r="J473" i="7"/>
  <c r="J474" i="7" s="1"/>
  <c r="G451" i="7"/>
  <c r="J451" i="7" s="1"/>
  <c r="E461" i="7"/>
  <c r="G461" i="7" s="1"/>
  <c r="J461" i="7" s="1"/>
  <c r="D443" i="7"/>
  <c r="L442" i="7"/>
  <c r="D435" i="7"/>
  <c r="L434" i="7"/>
  <c r="D427" i="7"/>
  <c r="L428" i="7" s="1"/>
  <c r="L426" i="7"/>
  <c r="AG58" i="2"/>
  <c r="H407" i="7"/>
  <c r="G407" i="7"/>
  <c r="F407" i="7"/>
  <c r="E408" i="7"/>
  <c r="M407" i="7" s="1"/>
  <c r="E417" i="7"/>
  <c r="H416" i="7"/>
  <c r="G416" i="7"/>
  <c r="F416" i="7"/>
  <c r="F425" i="7"/>
  <c r="H425" i="7"/>
  <c r="G425" i="7"/>
  <c r="E426" i="7"/>
  <c r="M425" i="7" s="1"/>
  <c r="B485" i="7"/>
  <c r="A487" i="7"/>
  <c r="A488" i="7" s="1"/>
  <c r="A489" i="7" s="1"/>
  <c r="A490" i="7" s="1"/>
  <c r="A491" i="7" s="1"/>
  <c r="A492" i="7" s="1"/>
  <c r="A493" i="7" s="1"/>
  <c r="A494" i="7" s="1"/>
  <c r="A495" i="7" s="1"/>
  <c r="A496" i="7" s="1"/>
  <c r="H398" i="7" l="1"/>
  <c r="G398" i="7"/>
  <c r="F398" i="7"/>
  <c r="E435" i="7"/>
  <c r="E436" i="7" s="1"/>
  <c r="M435" i="7" s="1"/>
  <c r="F434" i="7"/>
  <c r="G434" i="7"/>
  <c r="H434" i="7"/>
  <c r="F443" i="7"/>
  <c r="G443" i="7"/>
  <c r="H443" i="7"/>
  <c r="G452" i="7"/>
  <c r="D451" i="7"/>
  <c r="L452" i="7" s="1"/>
  <c r="F461" i="7"/>
  <c r="J462" i="7" s="1"/>
  <c r="H461" i="7"/>
  <c r="I461" i="7" s="1"/>
  <c r="D461" i="7" s="1"/>
  <c r="E462" i="7"/>
  <c r="M461" i="7" s="1"/>
  <c r="F452" i="7"/>
  <c r="E453" i="7"/>
  <c r="G453" i="7" s="1"/>
  <c r="K229" i="7"/>
  <c r="K233" i="7" s="1"/>
  <c r="M228" i="7"/>
  <c r="E471" i="7"/>
  <c r="H471" i="7" s="1"/>
  <c r="I471" i="7" s="1"/>
  <c r="J483" i="7"/>
  <c r="J484" i="7" s="1"/>
  <c r="H452" i="7"/>
  <c r="D437" i="7"/>
  <c r="L438" i="7" s="1"/>
  <c r="L436" i="7"/>
  <c r="D445" i="7"/>
  <c r="L444" i="7"/>
  <c r="AG59" i="2"/>
  <c r="H426" i="7"/>
  <c r="F426" i="7"/>
  <c r="E427" i="7"/>
  <c r="G426" i="7"/>
  <c r="H417" i="7"/>
  <c r="E418" i="7"/>
  <c r="M417" i="7" s="1"/>
  <c r="F417" i="7"/>
  <c r="G417" i="7"/>
  <c r="E445" i="7"/>
  <c r="F444" i="7"/>
  <c r="G444" i="7"/>
  <c r="H444" i="7"/>
  <c r="H408" i="7"/>
  <c r="F408" i="7"/>
  <c r="G408" i="7"/>
  <c r="A497" i="7"/>
  <c r="A498" i="7" s="1"/>
  <c r="A499" i="7" s="1"/>
  <c r="A500" i="7" s="1"/>
  <c r="A501" i="7" s="1"/>
  <c r="A502" i="7" s="1"/>
  <c r="A503" i="7" s="1"/>
  <c r="A504" i="7" s="1"/>
  <c r="A505" i="7" s="1"/>
  <c r="A506" i="7" s="1"/>
  <c r="B495" i="7"/>
  <c r="F435" i="7" l="1"/>
  <c r="G435" i="7"/>
  <c r="H435" i="7"/>
  <c r="D453" i="7"/>
  <c r="D455" i="7" s="1"/>
  <c r="H462" i="7"/>
  <c r="F462" i="7"/>
  <c r="F471" i="7"/>
  <c r="J472" i="7" s="1"/>
  <c r="E454" i="7"/>
  <c r="M453" i="7" s="1"/>
  <c r="F453" i="7"/>
  <c r="E463" i="7"/>
  <c r="H463" i="7" s="1"/>
  <c r="H453" i="7"/>
  <c r="G462" i="7"/>
  <c r="G471" i="7"/>
  <c r="J471" i="7" s="1"/>
  <c r="D471" i="7" s="1"/>
  <c r="E472" i="7"/>
  <c r="M471" i="7" s="1"/>
  <c r="K235" i="7"/>
  <c r="M234" i="7"/>
  <c r="E481" i="7"/>
  <c r="E482" i="7" s="1"/>
  <c r="M481" i="7" s="1"/>
  <c r="J493" i="7"/>
  <c r="J494" i="7" s="1"/>
  <c r="D447" i="7"/>
  <c r="L448" i="7" s="1"/>
  <c r="L446" i="7"/>
  <c r="D463" i="7"/>
  <c r="L462" i="7"/>
  <c r="L454" i="7"/>
  <c r="AG60" i="2"/>
  <c r="E437" i="7"/>
  <c r="F436" i="7"/>
  <c r="H436" i="7"/>
  <c r="G436" i="7"/>
  <c r="F445" i="7"/>
  <c r="G445" i="7"/>
  <c r="H445" i="7"/>
  <c r="E446" i="7"/>
  <c r="M445" i="7" s="1"/>
  <c r="H427" i="7"/>
  <c r="E428" i="7"/>
  <c r="M427" i="7" s="1"/>
  <c r="F427" i="7"/>
  <c r="G427" i="7"/>
  <c r="G418" i="7"/>
  <c r="F418" i="7"/>
  <c r="H418" i="7"/>
  <c r="B505" i="7"/>
  <c r="A507" i="7"/>
  <c r="A508" i="7" s="1"/>
  <c r="A509" i="7" s="1"/>
  <c r="A510" i="7" s="1"/>
  <c r="A511" i="7" s="1"/>
  <c r="A512" i="7" s="1"/>
  <c r="A513" i="7" s="1"/>
  <c r="A514" i="7" s="1"/>
  <c r="A515" i="7" s="1"/>
  <c r="A516" i="7" s="1"/>
  <c r="F454" i="7" l="1"/>
  <c r="G454" i="7"/>
  <c r="E455" i="7"/>
  <c r="E456" i="7" s="1"/>
  <c r="M455" i="7" s="1"/>
  <c r="H472" i="7"/>
  <c r="G481" i="7"/>
  <c r="J481" i="7" s="1"/>
  <c r="F472" i="7"/>
  <c r="E464" i="7"/>
  <c r="M463" i="7" s="1"/>
  <c r="G463" i="7"/>
  <c r="H454" i="7"/>
  <c r="F463" i="7"/>
  <c r="E473" i="7"/>
  <c r="E474" i="7" s="1"/>
  <c r="M473" i="7" s="1"/>
  <c r="G472" i="7"/>
  <c r="F481" i="7"/>
  <c r="J482" i="7" s="1"/>
  <c r="K237" i="7"/>
  <c r="M236" i="7"/>
  <c r="H481" i="7"/>
  <c r="I481" i="7" s="1"/>
  <c r="E491" i="7"/>
  <c r="E492" i="7" s="1"/>
  <c r="M491" i="7" s="1"/>
  <c r="J503" i="7"/>
  <c r="J504" i="7" s="1"/>
  <c r="D465" i="7"/>
  <c r="L464" i="7"/>
  <c r="D473" i="7"/>
  <c r="L472" i="7"/>
  <c r="D457" i="7"/>
  <c r="L458" i="7" s="1"/>
  <c r="L456" i="7"/>
  <c r="AG61" i="2"/>
  <c r="G482" i="7"/>
  <c r="F482" i="7"/>
  <c r="H482" i="7"/>
  <c r="E483" i="7"/>
  <c r="E438" i="7"/>
  <c r="M437" i="7" s="1"/>
  <c r="F437" i="7"/>
  <c r="G437" i="7"/>
  <c r="H437" i="7"/>
  <c r="F446" i="7"/>
  <c r="H446" i="7"/>
  <c r="G446" i="7"/>
  <c r="E447" i="7"/>
  <c r="G455" i="7"/>
  <c r="H455" i="7"/>
  <c r="F455" i="7"/>
  <c r="F428" i="7"/>
  <c r="G428" i="7"/>
  <c r="H428" i="7"/>
  <c r="A517" i="7"/>
  <c r="A518" i="7" s="1"/>
  <c r="A519" i="7" s="1"/>
  <c r="A520" i="7" s="1"/>
  <c r="A521" i="7" s="1"/>
  <c r="A522" i="7" s="1"/>
  <c r="A523" i="7" s="1"/>
  <c r="A524" i="7" s="1"/>
  <c r="A525" i="7" s="1"/>
  <c r="A526" i="7" s="1"/>
  <c r="B515" i="7"/>
  <c r="D481" i="7" l="1"/>
  <c r="D483" i="7" s="1"/>
  <c r="F464" i="7"/>
  <c r="H464" i="7"/>
  <c r="G464" i="7"/>
  <c r="E465" i="7"/>
  <c r="E466" i="7" s="1"/>
  <c r="M465" i="7" s="1"/>
  <c r="G473" i="7"/>
  <c r="F473" i="7"/>
  <c r="H473" i="7"/>
  <c r="H491" i="7"/>
  <c r="I491" i="7" s="1"/>
  <c r="F491" i="7"/>
  <c r="J492" i="7" s="1"/>
  <c r="K239" i="7"/>
  <c r="K243" i="7" s="1"/>
  <c r="M238" i="7"/>
  <c r="G491" i="7"/>
  <c r="J491" i="7" s="1"/>
  <c r="J513" i="7"/>
  <c r="J514" i="7" s="1"/>
  <c r="E501" i="7"/>
  <c r="E502" i="7" s="1"/>
  <c r="M501" i="7" s="1"/>
  <c r="L482" i="7"/>
  <c r="D475" i="7"/>
  <c r="L474" i="7"/>
  <c r="D467" i="7"/>
  <c r="L468" i="7" s="1"/>
  <c r="L466" i="7"/>
  <c r="AG62" i="2"/>
  <c r="H456" i="7"/>
  <c r="G456" i="7"/>
  <c r="F456" i="7"/>
  <c r="E457" i="7"/>
  <c r="H492" i="7"/>
  <c r="F492" i="7"/>
  <c r="G492" i="7"/>
  <c r="E493" i="7"/>
  <c r="F447" i="7"/>
  <c r="E448" i="7"/>
  <c r="M447" i="7" s="1"/>
  <c r="G447" i="7"/>
  <c r="H447" i="7"/>
  <c r="H438" i="7"/>
  <c r="G438" i="7"/>
  <c r="F438" i="7"/>
  <c r="E475" i="7"/>
  <c r="H474" i="7"/>
  <c r="G474" i="7"/>
  <c r="F474" i="7"/>
  <c r="F483" i="7"/>
  <c r="E484" i="7"/>
  <c r="M483" i="7" s="1"/>
  <c r="H483" i="7"/>
  <c r="G483" i="7"/>
  <c r="B525" i="7"/>
  <c r="A527" i="7"/>
  <c r="A528" i="7" s="1"/>
  <c r="A529" i="7" s="1"/>
  <c r="A530" i="7" s="1"/>
  <c r="A531" i="7" s="1"/>
  <c r="A532" i="7" s="1"/>
  <c r="A533" i="7" s="1"/>
  <c r="A534" i="7" s="1"/>
  <c r="A535" i="7" s="1"/>
  <c r="A536" i="7" s="1"/>
  <c r="G465" i="7" l="1"/>
  <c r="H465" i="7"/>
  <c r="F465" i="7"/>
  <c r="D491" i="7"/>
  <c r="L492" i="7" s="1"/>
  <c r="E511" i="7"/>
  <c r="G511" i="7" s="1"/>
  <c r="J511" i="7" s="1"/>
  <c r="K245" i="7"/>
  <c r="M244" i="7"/>
  <c r="F501" i="7"/>
  <c r="J502" i="7" s="1"/>
  <c r="J523" i="7"/>
  <c r="J524" i="7" s="1"/>
  <c r="H501" i="7"/>
  <c r="I501" i="7" s="1"/>
  <c r="G501" i="7"/>
  <c r="J501" i="7" s="1"/>
  <c r="D477" i="7"/>
  <c r="L478" i="7" s="1"/>
  <c r="L476" i="7"/>
  <c r="D485" i="7"/>
  <c r="L484" i="7"/>
  <c r="AG63" i="2"/>
  <c r="E458" i="7"/>
  <c r="M457" i="7" s="1"/>
  <c r="H457" i="7"/>
  <c r="G457" i="7"/>
  <c r="F457" i="7"/>
  <c r="H484" i="7"/>
  <c r="E485" i="7"/>
  <c r="F484" i="7"/>
  <c r="G484" i="7"/>
  <c r="E503" i="7"/>
  <c r="F502" i="7"/>
  <c r="G502" i="7"/>
  <c r="H502" i="7"/>
  <c r="H448" i="7"/>
  <c r="F448" i="7"/>
  <c r="G448" i="7"/>
  <c r="H466" i="7"/>
  <c r="G466" i="7"/>
  <c r="F466" i="7"/>
  <c r="E467" i="7"/>
  <c r="H493" i="7"/>
  <c r="G493" i="7"/>
  <c r="E494" i="7"/>
  <c r="M493" i="7" s="1"/>
  <c r="F493" i="7"/>
  <c r="F475" i="7"/>
  <c r="G475" i="7"/>
  <c r="E476" i="7"/>
  <c r="M475" i="7" s="1"/>
  <c r="H475" i="7"/>
  <c r="A537" i="7"/>
  <c r="A538" i="7" s="1"/>
  <c r="A539" i="7" s="1"/>
  <c r="A540" i="7" s="1"/>
  <c r="A541" i="7" s="1"/>
  <c r="A542" i="7" s="1"/>
  <c r="A543" i="7" s="1"/>
  <c r="A544" i="7" s="1"/>
  <c r="A545" i="7" s="1"/>
  <c r="A546" i="7" s="1"/>
  <c r="B535" i="7"/>
  <c r="D493" i="7" l="1"/>
  <c r="F511" i="7"/>
  <c r="J512" i="7" s="1"/>
  <c r="H511" i="7"/>
  <c r="I511" i="7" s="1"/>
  <c r="D511" i="7" s="1"/>
  <c r="E512" i="7"/>
  <c r="M511" i="7" s="1"/>
  <c r="D501" i="7"/>
  <c r="L502" i="7" s="1"/>
  <c r="K247" i="7"/>
  <c r="M246" i="7"/>
  <c r="E521" i="7"/>
  <c r="F521" i="7" s="1"/>
  <c r="J522" i="7" s="1"/>
  <c r="J533" i="7"/>
  <c r="J534" i="7" s="1"/>
  <c r="D487" i="7"/>
  <c r="L488" i="7" s="1"/>
  <c r="L486" i="7"/>
  <c r="D495" i="7"/>
  <c r="L494" i="7"/>
  <c r="AG64" i="2"/>
  <c r="H485" i="7"/>
  <c r="F485" i="7"/>
  <c r="G485" i="7"/>
  <c r="E486" i="7"/>
  <c r="M485" i="7" s="1"/>
  <c r="G476" i="7"/>
  <c r="F476" i="7"/>
  <c r="H476" i="7"/>
  <c r="E477" i="7"/>
  <c r="F467" i="7"/>
  <c r="E468" i="7"/>
  <c r="M467" i="7" s="1"/>
  <c r="G467" i="7"/>
  <c r="H467" i="7"/>
  <c r="F503" i="7"/>
  <c r="H503" i="7"/>
  <c r="E504" i="7"/>
  <c r="M503" i="7" s="1"/>
  <c r="G503" i="7"/>
  <c r="G494" i="7"/>
  <c r="E495" i="7"/>
  <c r="H494" i="7"/>
  <c r="F494" i="7"/>
  <c r="F458" i="7"/>
  <c r="G458" i="7"/>
  <c r="H458" i="7"/>
  <c r="B545" i="7"/>
  <c r="A547" i="7"/>
  <c r="A548" i="7" s="1"/>
  <c r="A549" i="7" s="1"/>
  <c r="A550" i="7" s="1"/>
  <c r="A551" i="7" s="1"/>
  <c r="A552" i="7" s="1"/>
  <c r="A553" i="7" s="1"/>
  <c r="A554" i="7" s="1"/>
  <c r="A555" i="7" s="1"/>
  <c r="A556" i="7" s="1"/>
  <c r="F512" i="7" l="1"/>
  <c r="H512" i="7"/>
  <c r="E513" i="7"/>
  <c r="F513" i="7" s="1"/>
  <c r="G512" i="7"/>
  <c r="H521" i="7"/>
  <c r="I521" i="7" s="1"/>
  <c r="E522" i="7"/>
  <c r="M521" i="7" s="1"/>
  <c r="G521" i="7"/>
  <c r="J521" i="7" s="1"/>
  <c r="D503" i="7"/>
  <c r="L504" i="7" s="1"/>
  <c r="K249" i="7"/>
  <c r="K253" i="7" s="1"/>
  <c r="M248" i="7"/>
  <c r="J543" i="7"/>
  <c r="J544" i="7" s="1"/>
  <c r="E531" i="7"/>
  <c r="G531" i="7" s="1"/>
  <c r="J531" i="7" s="1"/>
  <c r="D497" i="7"/>
  <c r="L498" i="7" s="1"/>
  <c r="L496" i="7"/>
  <c r="D513" i="7"/>
  <c r="L512" i="7"/>
  <c r="AG65" i="2"/>
  <c r="G477" i="7"/>
  <c r="H477" i="7"/>
  <c r="E478" i="7"/>
  <c r="M477" i="7" s="1"/>
  <c r="F477" i="7"/>
  <c r="E496" i="7"/>
  <c r="M495" i="7" s="1"/>
  <c r="H495" i="7"/>
  <c r="F495" i="7"/>
  <c r="G495" i="7"/>
  <c r="F468" i="7"/>
  <c r="G468" i="7"/>
  <c r="H468" i="7"/>
  <c r="H486" i="7"/>
  <c r="E487" i="7"/>
  <c r="G486" i="7"/>
  <c r="F486" i="7"/>
  <c r="F504" i="7"/>
  <c r="H504" i="7"/>
  <c r="E505" i="7"/>
  <c r="G504" i="7"/>
  <c r="G513" i="7"/>
  <c r="H513" i="7"/>
  <c r="B555" i="7"/>
  <c r="A557" i="7"/>
  <c r="A558" i="7" s="1"/>
  <c r="A559" i="7" s="1"/>
  <c r="A560" i="7" s="1"/>
  <c r="A561" i="7" s="1"/>
  <c r="A562" i="7" s="1"/>
  <c r="A563" i="7" s="1"/>
  <c r="A564" i="7" s="1"/>
  <c r="A565" i="7" s="1"/>
  <c r="A566" i="7" s="1"/>
  <c r="E514" i="7" l="1"/>
  <c r="M513" i="7" s="1"/>
  <c r="D521" i="7"/>
  <c r="D523" i="7" s="1"/>
  <c r="E523" i="7"/>
  <c r="F523" i="7" s="1"/>
  <c r="D505" i="7"/>
  <c r="L506" i="7" s="1"/>
  <c r="G522" i="7"/>
  <c r="H522" i="7"/>
  <c r="F522" i="7"/>
  <c r="K255" i="7"/>
  <c r="M254" i="7"/>
  <c r="J553" i="7"/>
  <c r="J554" i="7" s="1"/>
  <c r="E532" i="7"/>
  <c r="M531" i="7" s="1"/>
  <c r="H531" i="7"/>
  <c r="I531" i="7" s="1"/>
  <c r="D531" i="7" s="1"/>
  <c r="F531" i="7"/>
  <c r="J532" i="7" s="1"/>
  <c r="E541" i="7"/>
  <c r="E542" i="7" s="1"/>
  <c r="M541" i="7" s="1"/>
  <c r="D515" i="7"/>
  <c r="L514" i="7"/>
  <c r="AG66" i="2"/>
  <c r="F478" i="7"/>
  <c r="G478" i="7"/>
  <c r="H478" i="7"/>
  <c r="F505" i="7"/>
  <c r="H505" i="7"/>
  <c r="G505" i="7"/>
  <c r="E506" i="7"/>
  <c r="M505" i="7" s="1"/>
  <c r="E488" i="7"/>
  <c r="M487" i="7" s="1"/>
  <c r="H487" i="7"/>
  <c r="G487" i="7"/>
  <c r="F487" i="7"/>
  <c r="E497" i="7"/>
  <c r="H496" i="7"/>
  <c r="G496" i="7"/>
  <c r="F496" i="7"/>
  <c r="B565" i="7"/>
  <c r="A567" i="7"/>
  <c r="A568" i="7" s="1"/>
  <c r="A569" i="7" s="1"/>
  <c r="A570" i="7" s="1"/>
  <c r="A571" i="7" s="1"/>
  <c r="A572" i="7" s="1"/>
  <c r="A573" i="7" s="1"/>
  <c r="A574" i="7" s="1"/>
  <c r="A575" i="7" s="1"/>
  <c r="A576" i="7" s="1"/>
  <c r="L522" i="7" l="1"/>
  <c r="E515" i="7"/>
  <c r="G515" i="7" s="1"/>
  <c r="F514" i="7"/>
  <c r="E524" i="7"/>
  <c r="M523" i="7" s="1"/>
  <c r="G523" i="7"/>
  <c r="H523" i="7"/>
  <c r="G514" i="7"/>
  <c r="H514" i="7"/>
  <c r="D507" i="7"/>
  <c r="L508" i="7" s="1"/>
  <c r="G541" i="7"/>
  <c r="J541" i="7" s="1"/>
  <c r="F541" i="7"/>
  <c r="J542" i="7" s="1"/>
  <c r="H541" i="7"/>
  <c r="I541" i="7" s="1"/>
  <c r="K257" i="7"/>
  <c r="M256" i="7"/>
  <c r="H532" i="7"/>
  <c r="G532" i="7"/>
  <c r="E551" i="7"/>
  <c r="H551" i="7" s="1"/>
  <c r="I551" i="7" s="1"/>
  <c r="J563" i="7"/>
  <c r="J564" i="7" s="1"/>
  <c r="F532" i="7"/>
  <c r="E533" i="7"/>
  <c r="F533" i="7" s="1"/>
  <c r="D533" i="7"/>
  <c r="L532" i="7"/>
  <c r="D517" i="7"/>
  <c r="L518" i="7" s="1"/>
  <c r="L516" i="7"/>
  <c r="D525" i="7"/>
  <c r="L524" i="7"/>
  <c r="AG67" i="2"/>
  <c r="E498" i="7"/>
  <c r="M497" i="7" s="1"/>
  <c r="H497" i="7"/>
  <c r="G497" i="7"/>
  <c r="F497" i="7"/>
  <c r="G542" i="7"/>
  <c r="E543" i="7"/>
  <c r="F542" i="7"/>
  <c r="H542" i="7"/>
  <c r="H506" i="7"/>
  <c r="E507" i="7"/>
  <c r="G506" i="7"/>
  <c r="F506" i="7"/>
  <c r="H488" i="7"/>
  <c r="G488" i="7"/>
  <c r="F488" i="7"/>
  <c r="A577" i="7"/>
  <c r="A578" i="7" s="1"/>
  <c r="A579" i="7" s="1"/>
  <c r="A580" i="7" s="1"/>
  <c r="A581" i="7" s="1"/>
  <c r="A582" i="7" s="1"/>
  <c r="A583" i="7" s="1"/>
  <c r="A584" i="7" s="1"/>
  <c r="A585" i="7" s="1"/>
  <c r="A586" i="7" s="1"/>
  <c r="B575" i="7"/>
  <c r="H515" i="7" l="1"/>
  <c r="E516" i="7"/>
  <c r="M515" i="7" s="1"/>
  <c r="F515" i="7"/>
  <c r="E525" i="7"/>
  <c r="G525" i="7" s="1"/>
  <c r="F524" i="7"/>
  <c r="G524" i="7"/>
  <c r="H524" i="7"/>
  <c r="D541" i="7"/>
  <c r="D543" i="7" s="1"/>
  <c r="G533" i="7"/>
  <c r="E552" i="7"/>
  <c r="M551" i="7" s="1"/>
  <c r="K259" i="7"/>
  <c r="K263" i="7" s="1"/>
  <c r="M258" i="7"/>
  <c r="F551" i="7"/>
  <c r="J552" i="7" s="1"/>
  <c r="G551" i="7"/>
  <c r="J551" i="7" s="1"/>
  <c r="D551" i="7" s="1"/>
  <c r="E561" i="7"/>
  <c r="E562" i="7" s="1"/>
  <c r="M561" i="7" s="1"/>
  <c r="H533" i="7"/>
  <c r="E534" i="7"/>
  <c r="M533" i="7" s="1"/>
  <c r="J573" i="7"/>
  <c r="J574" i="7" s="1"/>
  <c r="D527" i="7"/>
  <c r="L528" i="7" s="1"/>
  <c r="L526" i="7"/>
  <c r="D535" i="7"/>
  <c r="L534" i="7"/>
  <c r="AG68" i="2"/>
  <c r="H507" i="7"/>
  <c r="F507" i="7"/>
  <c r="G507" i="7"/>
  <c r="E508" i="7"/>
  <c r="M507" i="7" s="1"/>
  <c r="H543" i="7"/>
  <c r="F543" i="7"/>
  <c r="E544" i="7"/>
  <c r="M543" i="7" s="1"/>
  <c r="G543" i="7"/>
  <c r="G516" i="7"/>
  <c r="G498" i="7"/>
  <c r="F498" i="7"/>
  <c r="H498" i="7"/>
  <c r="A587" i="7"/>
  <c r="A588" i="7" s="1"/>
  <c r="A589" i="7" s="1"/>
  <c r="A590" i="7" s="1"/>
  <c r="A591" i="7" s="1"/>
  <c r="A592" i="7" s="1"/>
  <c r="A593" i="7" s="1"/>
  <c r="A594" i="7" s="1"/>
  <c r="A595" i="7" s="1"/>
  <c r="A596" i="7" s="1"/>
  <c r="B585" i="7"/>
  <c r="H516" i="7" l="1"/>
  <c r="E517" i="7"/>
  <c r="E518" i="7" s="1"/>
  <c r="M517" i="7" s="1"/>
  <c r="F516" i="7"/>
  <c r="E526" i="7"/>
  <c r="M525" i="7" s="1"/>
  <c r="H525" i="7"/>
  <c r="F525" i="7"/>
  <c r="L542" i="7"/>
  <c r="F552" i="7"/>
  <c r="E553" i="7"/>
  <c r="H553" i="7" s="1"/>
  <c r="G552" i="7"/>
  <c r="H552" i="7"/>
  <c r="H534" i="7"/>
  <c r="H561" i="7"/>
  <c r="I561" i="7" s="1"/>
  <c r="G561" i="7"/>
  <c r="J561" i="7" s="1"/>
  <c r="F534" i="7"/>
  <c r="F561" i="7"/>
  <c r="J562" i="7" s="1"/>
  <c r="K265" i="7"/>
  <c r="M264" i="7"/>
  <c r="G534" i="7"/>
  <c r="E571" i="7"/>
  <c r="F571" i="7" s="1"/>
  <c r="J572" i="7" s="1"/>
  <c r="J583" i="7"/>
  <c r="J584" i="7" s="1"/>
  <c r="E535" i="7"/>
  <c r="G535" i="7" s="1"/>
  <c r="D537" i="7"/>
  <c r="L538" i="7" s="1"/>
  <c r="L536" i="7"/>
  <c r="D553" i="7"/>
  <c r="L552" i="7"/>
  <c r="D545" i="7"/>
  <c r="L544" i="7"/>
  <c r="AG69" i="2"/>
  <c r="H508" i="7"/>
  <c r="G508" i="7"/>
  <c r="F508" i="7"/>
  <c r="H544" i="7"/>
  <c r="F544" i="7"/>
  <c r="G544" i="7"/>
  <c r="E545" i="7"/>
  <c r="H562" i="7"/>
  <c r="G562" i="7"/>
  <c r="F562" i="7"/>
  <c r="E563" i="7"/>
  <c r="F517" i="7"/>
  <c r="H526" i="7"/>
  <c r="G526" i="7"/>
  <c r="E527" i="7"/>
  <c r="A597" i="7"/>
  <c r="A598" i="7" s="1"/>
  <c r="A599" i="7" s="1"/>
  <c r="A600" i="7" s="1"/>
  <c r="A601" i="7" s="1"/>
  <c r="A602" i="7" s="1"/>
  <c r="A603" i="7" s="1"/>
  <c r="A604" i="7" s="1"/>
  <c r="A605" i="7" s="1"/>
  <c r="A606" i="7" s="1"/>
  <c r="B595" i="7"/>
  <c r="F526" i="7" l="1"/>
  <c r="G517" i="7"/>
  <c r="H517" i="7"/>
  <c r="E554" i="7"/>
  <c r="M553" i="7" s="1"/>
  <c r="F553" i="7"/>
  <c r="G553" i="7"/>
  <c r="D561" i="7"/>
  <c r="L562" i="7" s="1"/>
  <c r="E581" i="7"/>
  <c r="H581" i="7" s="1"/>
  <c r="I581" i="7" s="1"/>
  <c r="E572" i="7"/>
  <c r="M571" i="7" s="1"/>
  <c r="G571" i="7"/>
  <c r="J571" i="7" s="1"/>
  <c r="K267" i="7"/>
  <c r="M266" i="7"/>
  <c r="H571" i="7"/>
  <c r="I571" i="7" s="1"/>
  <c r="E536" i="7"/>
  <c r="M535" i="7" s="1"/>
  <c r="F535" i="7"/>
  <c r="H535" i="7"/>
  <c r="J593" i="7"/>
  <c r="J594" i="7" s="1"/>
  <c r="D547" i="7"/>
  <c r="L548" i="7" s="1"/>
  <c r="L546" i="7"/>
  <c r="D555" i="7"/>
  <c r="L554" i="7"/>
  <c r="AG70" i="2"/>
  <c r="F527" i="7"/>
  <c r="E528" i="7"/>
  <c r="M527" i="7" s="1"/>
  <c r="H527" i="7"/>
  <c r="G527" i="7"/>
  <c r="H518" i="7"/>
  <c r="G518" i="7"/>
  <c r="F518" i="7"/>
  <c r="F563" i="7"/>
  <c r="E564" i="7"/>
  <c r="M563" i="7" s="1"/>
  <c r="H563" i="7"/>
  <c r="G563" i="7"/>
  <c r="E546" i="7"/>
  <c r="M545" i="7" s="1"/>
  <c r="H545" i="7"/>
  <c r="G545" i="7"/>
  <c r="F545" i="7"/>
  <c r="B605" i="7"/>
  <c r="A607" i="7"/>
  <c r="A608" i="7" s="1"/>
  <c r="A609" i="7" s="1"/>
  <c r="A610" i="7" s="1"/>
  <c r="A611" i="7" s="1"/>
  <c r="A612" i="7" s="1"/>
  <c r="A613" i="7" s="1"/>
  <c r="A614" i="7" s="1"/>
  <c r="A615" i="7" s="1"/>
  <c r="A616" i="7" s="1"/>
  <c r="D563" i="7" l="1"/>
  <c r="E582" i="7"/>
  <c r="M581" i="7" s="1"/>
  <c r="G581" i="7"/>
  <c r="J581" i="7" s="1"/>
  <c r="D581" i="7" s="1"/>
  <c r="F581" i="7"/>
  <c r="J582" i="7" s="1"/>
  <c r="E555" i="7"/>
  <c r="F555" i="7" s="1"/>
  <c r="H554" i="7"/>
  <c r="F554" i="7"/>
  <c r="G554" i="7"/>
  <c r="F572" i="7"/>
  <c r="E573" i="7"/>
  <c r="H573" i="7" s="1"/>
  <c r="H572" i="7"/>
  <c r="D571" i="7"/>
  <c r="D573" i="7" s="1"/>
  <c r="G572" i="7"/>
  <c r="F536" i="7"/>
  <c r="E537" i="7"/>
  <c r="H537" i="7" s="1"/>
  <c r="G536" i="7"/>
  <c r="H536" i="7"/>
  <c r="K269" i="7"/>
  <c r="K273" i="7" s="1"/>
  <c r="M268" i="7"/>
  <c r="E591" i="7"/>
  <c r="H591" i="7" s="1"/>
  <c r="I591" i="7" s="1"/>
  <c r="J603" i="7"/>
  <c r="J604" i="7" s="1"/>
  <c r="D557" i="7"/>
  <c r="L558" i="7" s="1"/>
  <c r="L556" i="7"/>
  <c r="D565" i="7"/>
  <c r="L564" i="7"/>
  <c r="AG71" i="2"/>
  <c r="H528" i="7"/>
  <c r="G528" i="7"/>
  <c r="F528" i="7"/>
  <c r="E547" i="7"/>
  <c r="F546" i="7"/>
  <c r="G546" i="7"/>
  <c r="H546" i="7"/>
  <c r="H564" i="7"/>
  <c r="E565" i="7"/>
  <c r="F564" i="7"/>
  <c r="G564" i="7"/>
  <c r="A617" i="7"/>
  <c r="A618" i="7" s="1"/>
  <c r="A619" i="7" s="1"/>
  <c r="A620" i="7" s="1"/>
  <c r="A621" i="7" s="1"/>
  <c r="A622" i="7" s="1"/>
  <c r="A623" i="7" s="1"/>
  <c r="A624" i="7" s="1"/>
  <c r="A625" i="7" s="1"/>
  <c r="A626" i="7" s="1"/>
  <c r="B615" i="7"/>
  <c r="E583" i="7" l="1"/>
  <c r="H582" i="7"/>
  <c r="F582" i="7"/>
  <c r="G582" i="7"/>
  <c r="H555" i="7"/>
  <c r="G555" i="7"/>
  <c r="E556" i="7"/>
  <c r="M555" i="7" s="1"/>
  <c r="F573" i="7"/>
  <c r="G573" i="7"/>
  <c r="E574" i="7"/>
  <c r="M573" i="7" s="1"/>
  <c r="L572" i="7"/>
  <c r="E538" i="7"/>
  <c r="M537" i="7" s="1"/>
  <c r="F537" i="7"/>
  <c r="G537" i="7"/>
  <c r="E592" i="7"/>
  <c r="M591" i="7" s="1"/>
  <c r="F591" i="7"/>
  <c r="J592" i="7" s="1"/>
  <c r="G591" i="7"/>
  <c r="J591" i="7" s="1"/>
  <c r="D591" i="7" s="1"/>
  <c r="K275" i="7"/>
  <c r="M274" i="7"/>
  <c r="J613" i="7"/>
  <c r="J614" i="7" s="1"/>
  <c r="E601" i="7"/>
  <c r="G601" i="7" s="1"/>
  <c r="J601" i="7" s="1"/>
  <c r="D567" i="7"/>
  <c r="L568" i="7" s="1"/>
  <c r="L566" i="7"/>
  <c r="D583" i="7"/>
  <c r="L582" i="7"/>
  <c r="D575" i="7"/>
  <c r="L574" i="7"/>
  <c r="AG72" i="2"/>
  <c r="F583" i="7"/>
  <c r="G583" i="7"/>
  <c r="E584" i="7"/>
  <c r="M583" i="7" s="1"/>
  <c r="H583" i="7"/>
  <c r="H565" i="7"/>
  <c r="F565" i="7"/>
  <c r="G565" i="7"/>
  <c r="E566" i="7"/>
  <c r="M565" i="7" s="1"/>
  <c r="F547" i="7"/>
  <c r="H547" i="7"/>
  <c r="E548" i="7"/>
  <c r="M547" i="7" s="1"/>
  <c r="G547" i="7"/>
  <c r="A627" i="7"/>
  <c r="A628" i="7" s="1"/>
  <c r="A629" i="7" s="1"/>
  <c r="A630" i="7" s="1"/>
  <c r="A631" i="7" s="1"/>
  <c r="A632" i="7" s="1"/>
  <c r="A633" i="7" s="1"/>
  <c r="A634" i="7" s="1"/>
  <c r="A635" i="7" s="1"/>
  <c r="A636" i="7" s="1"/>
  <c r="B625" i="7"/>
  <c r="H556" i="7" l="1"/>
  <c r="E557" i="7"/>
  <c r="F574" i="7"/>
  <c r="F556" i="7"/>
  <c r="H574" i="7"/>
  <c r="G574" i="7"/>
  <c r="G556" i="7"/>
  <c r="E575" i="7"/>
  <c r="E576" i="7" s="1"/>
  <c r="M575" i="7" s="1"/>
  <c r="H538" i="7"/>
  <c r="G538" i="7"/>
  <c r="F538" i="7"/>
  <c r="E593" i="7"/>
  <c r="G593" i="7" s="1"/>
  <c r="H592" i="7"/>
  <c r="G592" i="7"/>
  <c r="F592" i="7"/>
  <c r="E611" i="7"/>
  <c r="F611" i="7" s="1"/>
  <c r="J612" i="7" s="1"/>
  <c r="K277" i="7"/>
  <c r="M276" i="7"/>
  <c r="E602" i="7"/>
  <c r="M601" i="7" s="1"/>
  <c r="J623" i="7"/>
  <c r="J624" i="7" s="1"/>
  <c r="H601" i="7"/>
  <c r="I601" i="7" s="1"/>
  <c r="D601" i="7" s="1"/>
  <c r="F601" i="7"/>
  <c r="J602" i="7" s="1"/>
  <c r="D593" i="7"/>
  <c r="L592" i="7"/>
  <c r="D585" i="7"/>
  <c r="L584" i="7"/>
  <c r="D577" i="7"/>
  <c r="L578" i="7" s="1"/>
  <c r="L576" i="7"/>
  <c r="AG73" i="2"/>
  <c r="F548" i="7"/>
  <c r="H548" i="7"/>
  <c r="G548" i="7"/>
  <c r="H566" i="7"/>
  <c r="G566" i="7"/>
  <c r="F566" i="7"/>
  <c r="E567" i="7"/>
  <c r="G557" i="7"/>
  <c r="H557" i="7"/>
  <c r="F557" i="7"/>
  <c r="E558" i="7"/>
  <c r="M557" i="7" s="1"/>
  <c r="F584" i="7"/>
  <c r="H584" i="7"/>
  <c r="G584" i="7"/>
  <c r="E585" i="7"/>
  <c r="A637" i="7"/>
  <c r="A638" i="7" s="1"/>
  <c r="A639" i="7" s="1"/>
  <c r="A640" i="7" s="1"/>
  <c r="A641" i="7" s="1"/>
  <c r="A642" i="7" s="1"/>
  <c r="A643" i="7" s="1"/>
  <c r="A644" i="7" s="1"/>
  <c r="A645" i="7" s="1"/>
  <c r="A646" i="7" s="1"/>
  <c r="B635" i="7"/>
  <c r="F575" i="7" l="1"/>
  <c r="G575" i="7"/>
  <c r="H575" i="7"/>
  <c r="H593" i="7"/>
  <c r="E594" i="7"/>
  <c r="M593" i="7" s="1"/>
  <c r="F593" i="7"/>
  <c r="G611" i="7"/>
  <c r="J611" i="7" s="1"/>
  <c r="E612" i="7"/>
  <c r="M611" i="7" s="1"/>
  <c r="H611" i="7"/>
  <c r="I611" i="7" s="1"/>
  <c r="E603" i="7"/>
  <c r="E604" i="7" s="1"/>
  <c r="M603" i="7" s="1"/>
  <c r="E621" i="7"/>
  <c r="G621" i="7" s="1"/>
  <c r="J621" i="7" s="1"/>
  <c r="F602" i="7"/>
  <c r="G602" i="7"/>
  <c r="H602" i="7"/>
  <c r="K279" i="7"/>
  <c r="K283" i="7" s="1"/>
  <c r="M278" i="7"/>
  <c r="J633" i="7"/>
  <c r="J634" i="7" s="1"/>
  <c r="D587" i="7"/>
  <c r="L588" i="7" s="1"/>
  <c r="L586" i="7"/>
  <c r="D603" i="7"/>
  <c r="L602" i="7"/>
  <c r="D595" i="7"/>
  <c r="L594" i="7"/>
  <c r="AG74" i="2"/>
  <c r="F585" i="7"/>
  <c r="H585" i="7"/>
  <c r="E586" i="7"/>
  <c r="M585" i="7" s="1"/>
  <c r="G585" i="7"/>
  <c r="E577" i="7"/>
  <c r="H576" i="7"/>
  <c r="G576" i="7"/>
  <c r="F576" i="7"/>
  <c r="H558" i="7"/>
  <c r="F558" i="7"/>
  <c r="G558" i="7"/>
  <c r="E568" i="7"/>
  <c r="M567" i="7" s="1"/>
  <c r="H567" i="7"/>
  <c r="G567" i="7"/>
  <c r="F567" i="7"/>
  <c r="B645" i="7"/>
  <c r="A647" i="7"/>
  <c r="A648" i="7" s="1"/>
  <c r="A649" i="7" s="1"/>
  <c r="A650" i="7" s="1"/>
  <c r="A651" i="7" s="1"/>
  <c r="A652" i="7" s="1"/>
  <c r="A653" i="7" s="1"/>
  <c r="A654" i="7" s="1"/>
  <c r="A655" i="7" s="1"/>
  <c r="A656" i="7" s="1"/>
  <c r="E595" i="7" l="1"/>
  <c r="G595" i="7" s="1"/>
  <c r="F594" i="7"/>
  <c r="G594" i="7"/>
  <c r="D611" i="7"/>
  <c r="L612" i="7" s="1"/>
  <c r="F612" i="7"/>
  <c r="H594" i="7"/>
  <c r="G612" i="7"/>
  <c r="H612" i="7"/>
  <c r="E613" i="7"/>
  <c r="F613" i="7" s="1"/>
  <c r="E622" i="7"/>
  <c r="M621" i="7" s="1"/>
  <c r="F603" i="7"/>
  <c r="H603" i="7"/>
  <c r="G603" i="7"/>
  <c r="H621" i="7"/>
  <c r="I621" i="7" s="1"/>
  <c r="D621" i="7" s="1"/>
  <c r="F621" i="7"/>
  <c r="J622" i="7" s="1"/>
  <c r="E631" i="7"/>
  <c r="G631" i="7" s="1"/>
  <c r="J631" i="7" s="1"/>
  <c r="K285" i="7"/>
  <c r="M284" i="7"/>
  <c r="J643" i="7"/>
  <c r="J644" i="7" s="1"/>
  <c r="D597" i="7"/>
  <c r="L598" i="7" s="1"/>
  <c r="L596" i="7"/>
  <c r="D605" i="7"/>
  <c r="L604" i="7"/>
  <c r="AG75" i="2"/>
  <c r="E605" i="7"/>
  <c r="F604" i="7"/>
  <c r="G604" i="7"/>
  <c r="H604" i="7"/>
  <c r="H586" i="7"/>
  <c r="E587" i="7"/>
  <c r="G586" i="7"/>
  <c r="F586" i="7"/>
  <c r="E596" i="7"/>
  <c r="M595" i="7" s="1"/>
  <c r="F568" i="7"/>
  <c r="H568" i="7"/>
  <c r="G568" i="7"/>
  <c r="E578" i="7"/>
  <c r="M577" i="7" s="1"/>
  <c r="G577" i="7"/>
  <c r="F577" i="7"/>
  <c r="H577" i="7"/>
  <c r="B655" i="7"/>
  <c r="A657" i="7"/>
  <c r="A658" i="7" s="1"/>
  <c r="A659" i="7" s="1"/>
  <c r="A660" i="7" s="1"/>
  <c r="A661" i="7" s="1"/>
  <c r="A662" i="7" s="1"/>
  <c r="A663" i="7" s="1"/>
  <c r="A664" i="7" s="1"/>
  <c r="A665" i="7" s="1"/>
  <c r="A666" i="7" s="1"/>
  <c r="H595" i="7" l="1"/>
  <c r="F595" i="7"/>
  <c r="D613" i="7"/>
  <c r="L614" i="7" s="1"/>
  <c r="H613" i="7"/>
  <c r="E614" i="7"/>
  <c r="M613" i="7" s="1"/>
  <c r="G613" i="7"/>
  <c r="F622" i="7"/>
  <c r="E623" i="7"/>
  <c r="H623" i="7" s="1"/>
  <c r="G622" i="7"/>
  <c r="E641" i="7"/>
  <c r="F641" i="7" s="1"/>
  <c r="J642" i="7" s="1"/>
  <c r="H622" i="7"/>
  <c r="E632" i="7"/>
  <c r="M631" i="7" s="1"/>
  <c r="H631" i="7"/>
  <c r="I631" i="7" s="1"/>
  <c r="D631" i="7" s="1"/>
  <c r="F631" i="7"/>
  <c r="J632" i="7" s="1"/>
  <c r="K287" i="7"/>
  <c r="M286" i="7"/>
  <c r="J653" i="7"/>
  <c r="J654" i="7" s="1"/>
  <c r="D623" i="7"/>
  <c r="L622" i="7"/>
  <c r="D607" i="7"/>
  <c r="L608" i="7" s="1"/>
  <c r="L606" i="7"/>
  <c r="AG76" i="2"/>
  <c r="G578" i="7"/>
  <c r="F578" i="7"/>
  <c r="H578" i="7"/>
  <c r="G596" i="7"/>
  <c r="F596" i="7"/>
  <c r="H596" i="7"/>
  <c r="E597" i="7"/>
  <c r="F605" i="7"/>
  <c r="G605" i="7"/>
  <c r="E606" i="7"/>
  <c r="M605" i="7" s="1"/>
  <c r="H605" i="7"/>
  <c r="H587" i="7"/>
  <c r="F587" i="7"/>
  <c r="G587" i="7"/>
  <c r="E588" i="7"/>
  <c r="M587" i="7" s="1"/>
  <c r="A667" i="7"/>
  <c r="A668" i="7" s="1"/>
  <c r="A669" i="7" s="1"/>
  <c r="A670" i="7" s="1"/>
  <c r="A671" i="7" s="1"/>
  <c r="A672" i="7" s="1"/>
  <c r="A673" i="7" s="1"/>
  <c r="A674" i="7" s="1"/>
  <c r="A675" i="7" s="1"/>
  <c r="A676" i="7" s="1"/>
  <c r="B665" i="7"/>
  <c r="F614" i="7" l="1"/>
  <c r="E615" i="7"/>
  <c r="E616" i="7" s="1"/>
  <c r="M615" i="7" s="1"/>
  <c r="G614" i="7"/>
  <c r="D615" i="7"/>
  <c r="L616" i="7" s="1"/>
  <c r="H614" i="7"/>
  <c r="G623" i="7"/>
  <c r="E642" i="7"/>
  <c r="M641" i="7" s="1"/>
  <c r="F623" i="7"/>
  <c r="E624" i="7"/>
  <c r="M623" i="7" s="1"/>
  <c r="H641" i="7"/>
  <c r="I641" i="7" s="1"/>
  <c r="G632" i="7"/>
  <c r="G641" i="7"/>
  <c r="J641" i="7" s="1"/>
  <c r="F632" i="7"/>
  <c r="H632" i="7"/>
  <c r="E633" i="7"/>
  <c r="F633" i="7" s="1"/>
  <c r="K289" i="7"/>
  <c r="K293" i="7" s="1"/>
  <c r="M288" i="7"/>
  <c r="E651" i="7"/>
  <c r="H651" i="7" s="1"/>
  <c r="I651" i="7" s="1"/>
  <c r="J663" i="7"/>
  <c r="J664" i="7" s="1"/>
  <c r="D633" i="7"/>
  <c r="L632" i="7"/>
  <c r="D625" i="7"/>
  <c r="L624" i="7"/>
  <c r="AG77" i="2"/>
  <c r="H588" i="7"/>
  <c r="G588" i="7"/>
  <c r="F588" i="7"/>
  <c r="E598" i="7"/>
  <c r="M597" i="7" s="1"/>
  <c r="H597" i="7"/>
  <c r="G597" i="7"/>
  <c r="F597" i="7"/>
  <c r="F606" i="7"/>
  <c r="H606" i="7"/>
  <c r="G606" i="7"/>
  <c r="E607" i="7"/>
  <c r="B675" i="7"/>
  <c r="A677" i="7"/>
  <c r="A678" i="7" s="1"/>
  <c r="A679" i="7" s="1"/>
  <c r="A680" i="7" s="1"/>
  <c r="A681" i="7" s="1"/>
  <c r="A682" i="7" s="1"/>
  <c r="A683" i="7" s="1"/>
  <c r="A684" i="7" s="1"/>
  <c r="A685" i="7" s="1"/>
  <c r="A686" i="7" s="1"/>
  <c r="D617" i="7" l="1"/>
  <c r="L618" i="7" s="1"/>
  <c r="F615" i="7"/>
  <c r="H615" i="7"/>
  <c r="G615" i="7"/>
  <c r="H642" i="7"/>
  <c r="E643" i="7"/>
  <c r="H643" i="7" s="1"/>
  <c r="H624" i="7"/>
  <c r="G624" i="7"/>
  <c r="D641" i="7"/>
  <c r="D643" i="7" s="1"/>
  <c r="F642" i="7"/>
  <c r="G642" i="7"/>
  <c r="E625" i="7"/>
  <c r="H625" i="7" s="1"/>
  <c r="F624" i="7"/>
  <c r="H633" i="7"/>
  <c r="G633" i="7"/>
  <c r="E634" i="7"/>
  <c r="M633" i="7" s="1"/>
  <c r="F651" i="7"/>
  <c r="J652" i="7" s="1"/>
  <c r="G651" i="7"/>
  <c r="J651" i="7" s="1"/>
  <c r="D651" i="7" s="1"/>
  <c r="E652" i="7"/>
  <c r="M651" i="7" s="1"/>
  <c r="K295" i="7"/>
  <c r="M294" i="7"/>
  <c r="E661" i="7"/>
  <c r="E662" i="7" s="1"/>
  <c r="M661" i="7" s="1"/>
  <c r="J673" i="7"/>
  <c r="J674" i="7" s="1"/>
  <c r="D627" i="7"/>
  <c r="L628" i="7" s="1"/>
  <c r="L626" i="7"/>
  <c r="D635" i="7"/>
  <c r="L634" i="7"/>
  <c r="AG78" i="2"/>
  <c r="F607" i="7"/>
  <c r="H607" i="7"/>
  <c r="E608" i="7"/>
  <c r="M607" i="7" s="1"/>
  <c r="G607" i="7"/>
  <c r="F598" i="7"/>
  <c r="G598" i="7"/>
  <c r="H598" i="7"/>
  <c r="H616" i="7"/>
  <c r="E617" i="7"/>
  <c r="G616" i="7"/>
  <c r="F616" i="7"/>
  <c r="A687" i="7"/>
  <c r="A688" i="7" s="1"/>
  <c r="A689" i="7" s="1"/>
  <c r="A690" i="7" s="1"/>
  <c r="A691" i="7" s="1"/>
  <c r="A692" i="7" s="1"/>
  <c r="A693" i="7" s="1"/>
  <c r="A694" i="7" s="1"/>
  <c r="A695" i="7" s="1"/>
  <c r="A696" i="7" s="1"/>
  <c r="B685" i="7"/>
  <c r="E644" i="7" l="1"/>
  <c r="M643" i="7" s="1"/>
  <c r="F643" i="7"/>
  <c r="G643" i="7"/>
  <c r="L642" i="7"/>
  <c r="G625" i="7"/>
  <c r="E626" i="7"/>
  <c r="M625" i="7" s="1"/>
  <c r="F625" i="7"/>
  <c r="H634" i="7"/>
  <c r="E635" i="7"/>
  <c r="F635" i="7" s="1"/>
  <c r="F634" i="7"/>
  <c r="G634" i="7"/>
  <c r="G652" i="7"/>
  <c r="F652" i="7"/>
  <c r="H661" i="7"/>
  <c r="I661" i="7" s="1"/>
  <c r="H652" i="7"/>
  <c r="G661" i="7"/>
  <c r="J661" i="7" s="1"/>
  <c r="F661" i="7"/>
  <c r="J662" i="7" s="1"/>
  <c r="E653" i="7"/>
  <c r="G653" i="7" s="1"/>
  <c r="K297" i="7"/>
  <c r="M296" i="7"/>
  <c r="J683" i="7"/>
  <c r="J684" i="7" s="1"/>
  <c r="E671" i="7"/>
  <c r="H671" i="7" s="1"/>
  <c r="I671" i="7" s="1"/>
  <c r="D637" i="7"/>
  <c r="L638" i="7" s="1"/>
  <c r="L636" i="7"/>
  <c r="D653" i="7"/>
  <c r="L652" i="7"/>
  <c r="D645" i="7"/>
  <c r="L644" i="7"/>
  <c r="AG79" i="2"/>
  <c r="H662" i="7"/>
  <c r="F662" i="7"/>
  <c r="E663" i="7"/>
  <c r="G662" i="7"/>
  <c r="E618" i="7"/>
  <c r="M617" i="7" s="1"/>
  <c r="F617" i="7"/>
  <c r="G617" i="7"/>
  <c r="H617" i="7"/>
  <c r="H608" i="7"/>
  <c r="G608" i="7"/>
  <c r="F608" i="7"/>
  <c r="H644" i="7"/>
  <c r="A697" i="7"/>
  <c r="A698" i="7" s="1"/>
  <c r="A699" i="7" s="1"/>
  <c r="A700" i="7" s="1"/>
  <c r="A701" i="7" s="1"/>
  <c r="A702" i="7" s="1"/>
  <c r="A703" i="7" s="1"/>
  <c r="A704" i="7" s="1"/>
  <c r="A705" i="7" s="1"/>
  <c r="A706" i="7" s="1"/>
  <c r="B695" i="7"/>
  <c r="F644" i="7" l="1"/>
  <c r="G644" i="7"/>
  <c r="E645" i="7"/>
  <c r="H645" i="7" s="1"/>
  <c r="G626" i="7"/>
  <c r="H626" i="7"/>
  <c r="F626" i="7"/>
  <c r="E627" i="7"/>
  <c r="F627" i="7" s="1"/>
  <c r="E636" i="7"/>
  <c r="M635" i="7" s="1"/>
  <c r="H635" i="7"/>
  <c r="G635" i="7"/>
  <c r="D661" i="7"/>
  <c r="D663" i="7" s="1"/>
  <c r="H653" i="7"/>
  <c r="E654" i="7"/>
  <c r="M653" i="7" s="1"/>
  <c r="E681" i="7"/>
  <c r="F681" i="7" s="1"/>
  <c r="J682" i="7" s="1"/>
  <c r="F653" i="7"/>
  <c r="K299" i="7"/>
  <c r="K303" i="7" s="1"/>
  <c r="M298" i="7"/>
  <c r="F671" i="7"/>
  <c r="J672" i="7" s="1"/>
  <c r="J693" i="7"/>
  <c r="J694" i="7" s="1"/>
  <c r="G671" i="7"/>
  <c r="J671" i="7" s="1"/>
  <c r="D671" i="7" s="1"/>
  <c r="E672" i="7"/>
  <c r="M671" i="7" s="1"/>
  <c r="D647" i="7"/>
  <c r="L648" i="7" s="1"/>
  <c r="L646" i="7"/>
  <c r="D655" i="7"/>
  <c r="L654" i="7"/>
  <c r="AG80" i="2"/>
  <c r="F645" i="7"/>
  <c r="G645" i="7"/>
  <c r="E646" i="7"/>
  <c r="M645" i="7" s="1"/>
  <c r="H663" i="7"/>
  <c r="G663" i="7"/>
  <c r="F663" i="7"/>
  <c r="E664" i="7"/>
  <c r="M663" i="7" s="1"/>
  <c r="F618" i="7"/>
  <c r="G618" i="7"/>
  <c r="H618" i="7"/>
  <c r="B705" i="7"/>
  <c r="A707" i="7"/>
  <c r="A708" i="7" s="1"/>
  <c r="A709" i="7" s="1"/>
  <c r="A710" i="7" s="1"/>
  <c r="A711" i="7" s="1"/>
  <c r="A712" i="7" s="1"/>
  <c r="A713" i="7" s="1"/>
  <c r="A714" i="7" s="1"/>
  <c r="A715" i="7" s="1"/>
  <c r="A716" i="7" s="1"/>
  <c r="G636" i="7" l="1"/>
  <c r="E628" i="7"/>
  <c r="M627" i="7" s="1"/>
  <c r="H627" i="7"/>
  <c r="G627" i="7"/>
  <c r="E637" i="7"/>
  <c r="F637" i="7" s="1"/>
  <c r="F636" i="7"/>
  <c r="H636" i="7"/>
  <c r="L662" i="7"/>
  <c r="H681" i="7"/>
  <c r="I681" i="7" s="1"/>
  <c r="G681" i="7"/>
  <c r="J681" i="7" s="1"/>
  <c r="E682" i="7"/>
  <c r="M681" i="7" s="1"/>
  <c r="G654" i="7"/>
  <c r="E655" i="7"/>
  <c r="E656" i="7" s="1"/>
  <c r="M655" i="7" s="1"/>
  <c r="H654" i="7"/>
  <c r="F654" i="7"/>
  <c r="K305" i="7"/>
  <c r="M304" i="7"/>
  <c r="E691" i="7"/>
  <c r="E692" i="7" s="1"/>
  <c r="M691" i="7" s="1"/>
  <c r="J703" i="7"/>
  <c r="J704" i="7" s="1"/>
  <c r="H672" i="7"/>
  <c r="G672" i="7"/>
  <c r="E673" i="7"/>
  <c r="F673" i="7" s="1"/>
  <c r="F672" i="7"/>
  <c r="D673" i="7"/>
  <c r="L672" i="7"/>
  <c r="D657" i="7"/>
  <c r="L658" i="7" s="1"/>
  <c r="L656" i="7"/>
  <c r="D665" i="7"/>
  <c r="L664" i="7"/>
  <c r="AG81" i="2"/>
  <c r="F664" i="7"/>
  <c r="E665" i="7"/>
  <c r="H664" i="7"/>
  <c r="G664" i="7"/>
  <c r="H646" i="7"/>
  <c r="G646" i="7"/>
  <c r="E647" i="7"/>
  <c r="F646" i="7"/>
  <c r="A717" i="7"/>
  <c r="A718" i="7" s="1"/>
  <c r="A719" i="7" s="1"/>
  <c r="A720" i="7" s="1"/>
  <c r="A721" i="7" s="1"/>
  <c r="A722" i="7" s="1"/>
  <c r="A723" i="7" s="1"/>
  <c r="A724" i="7" s="1"/>
  <c r="A725" i="7" s="1"/>
  <c r="A726" i="7" s="1"/>
  <c r="B715" i="7"/>
  <c r="H628" i="7" l="1"/>
  <c r="G628" i="7"/>
  <c r="F628" i="7"/>
  <c r="H637" i="7"/>
  <c r="G637" i="7"/>
  <c r="E638" i="7"/>
  <c r="M637" i="7" s="1"/>
  <c r="D681" i="7"/>
  <c r="D683" i="7" s="1"/>
  <c r="F682" i="7"/>
  <c r="E683" i="7"/>
  <c r="F683" i="7" s="1"/>
  <c r="H655" i="7"/>
  <c r="F655" i="7"/>
  <c r="G682" i="7"/>
  <c r="G655" i="7"/>
  <c r="H682" i="7"/>
  <c r="G691" i="7"/>
  <c r="J691" i="7" s="1"/>
  <c r="H691" i="7"/>
  <c r="I691" i="7" s="1"/>
  <c r="F691" i="7"/>
  <c r="J692" i="7" s="1"/>
  <c r="K307" i="7"/>
  <c r="M306" i="7"/>
  <c r="J713" i="7"/>
  <c r="J714" i="7" s="1"/>
  <c r="E674" i="7"/>
  <c r="M673" i="7" s="1"/>
  <c r="H673" i="7"/>
  <c r="G673" i="7"/>
  <c r="E701" i="7"/>
  <c r="H701" i="7" s="1"/>
  <c r="I701" i="7" s="1"/>
  <c r="D667" i="7"/>
  <c r="L668" i="7" s="1"/>
  <c r="L666" i="7"/>
  <c r="D675" i="7"/>
  <c r="L674" i="7"/>
  <c r="AG82" i="2"/>
  <c r="E693" i="7"/>
  <c r="G692" i="7"/>
  <c r="F692" i="7"/>
  <c r="H692" i="7"/>
  <c r="E657" i="7"/>
  <c r="G656" i="7"/>
  <c r="H656" i="7"/>
  <c r="F656" i="7"/>
  <c r="E648" i="7"/>
  <c r="M647" i="7" s="1"/>
  <c r="H647" i="7"/>
  <c r="F647" i="7"/>
  <c r="G647" i="7"/>
  <c r="F665" i="7"/>
  <c r="G665" i="7"/>
  <c r="E666" i="7"/>
  <c r="M665" i="7" s="1"/>
  <c r="H665" i="7"/>
  <c r="B725" i="7"/>
  <c r="A727" i="7"/>
  <c r="A728" i="7" s="1"/>
  <c r="A729" i="7" s="1"/>
  <c r="A730" i="7" s="1"/>
  <c r="A731" i="7" s="1"/>
  <c r="A732" i="7" s="1"/>
  <c r="A733" i="7" s="1"/>
  <c r="A734" i="7" s="1"/>
  <c r="A735" i="7" s="1"/>
  <c r="A736" i="7" s="1"/>
  <c r="H638" i="7" l="1"/>
  <c r="G638" i="7"/>
  <c r="F638" i="7"/>
  <c r="L682" i="7"/>
  <c r="E684" i="7"/>
  <c r="M683" i="7" s="1"/>
  <c r="H683" i="7"/>
  <c r="G683" i="7"/>
  <c r="G701" i="7"/>
  <c r="J701" i="7" s="1"/>
  <c r="D701" i="7" s="1"/>
  <c r="D691" i="7"/>
  <c r="D693" i="7" s="1"/>
  <c r="F701" i="7"/>
  <c r="J702" i="7" s="1"/>
  <c r="G674" i="7"/>
  <c r="E702" i="7"/>
  <c r="M701" i="7" s="1"/>
  <c r="K309" i="7"/>
  <c r="K313" i="7" s="1"/>
  <c r="M308" i="7"/>
  <c r="H674" i="7"/>
  <c r="J723" i="7"/>
  <c r="J724" i="7" s="1"/>
  <c r="E675" i="7"/>
  <c r="H675" i="7" s="1"/>
  <c r="E711" i="7"/>
  <c r="F674" i="7"/>
  <c r="D677" i="7"/>
  <c r="L678" i="7" s="1"/>
  <c r="L676" i="7"/>
  <c r="D685" i="7"/>
  <c r="L684" i="7"/>
  <c r="AG83" i="2"/>
  <c r="H666" i="7"/>
  <c r="G666" i="7"/>
  <c r="F666" i="7"/>
  <c r="E667" i="7"/>
  <c r="H657" i="7"/>
  <c r="E658" i="7"/>
  <c r="M657" i="7" s="1"/>
  <c r="G657" i="7"/>
  <c r="F657" i="7"/>
  <c r="H693" i="7"/>
  <c r="F693" i="7"/>
  <c r="G693" i="7"/>
  <c r="E694" i="7"/>
  <c r="M693" i="7" s="1"/>
  <c r="F648" i="7"/>
  <c r="H648" i="7"/>
  <c r="G648" i="7"/>
  <c r="A737" i="7"/>
  <c r="A738" i="7" s="1"/>
  <c r="A739" i="7" s="1"/>
  <c r="A740" i="7" s="1"/>
  <c r="A741" i="7" s="1"/>
  <c r="A742" i="7" s="1"/>
  <c r="A743" i="7" s="1"/>
  <c r="A744" i="7" s="1"/>
  <c r="A745" i="7" s="1"/>
  <c r="A746" i="7" s="1"/>
  <c r="B735" i="7"/>
  <c r="H684" i="7" l="1"/>
  <c r="E685" i="7"/>
  <c r="G684" i="7"/>
  <c r="F684" i="7"/>
  <c r="L692" i="7"/>
  <c r="F711" i="7"/>
  <c r="J712" i="7" s="1"/>
  <c r="E712" i="7"/>
  <c r="M711" i="7" s="1"/>
  <c r="H702" i="7"/>
  <c r="F702" i="7"/>
  <c r="E703" i="7"/>
  <c r="H703" i="7" s="1"/>
  <c r="G702" i="7"/>
  <c r="E721" i="7"/>
  <c r="E722" i="7" s="1"/>
  <c r="M721" i="7" s="1"/>
  <c r="K315" i="7"/>
  <c r="M314" i="7"/>
  <c r="G711" i="7"/>
  <c r="J711" i="7" s="1"/>
  <c r="H711" i="7"/>
  <c r="I711" i="7" s="1"/>
  <c r="F675" i="7"/>
  <c r="G675" i="7"/>
  <c r="E676" i="7"/>
  <c r="M675" i="7" s="1"/>
  <c r="J733" i="7"/>
  <c r="J734" i="7" s="1"/>
  <c r="D687" i="7"/>
  <c r="L688" i="7" s="1"/>
  <c r="L686" i="7"/>
  <c r="D703" i="7"/>
  <c r="L702" i="7"/>
  <c r="D695" i="7"/>
  <c r="L694" i="7"/>
  <c r="AG84" i="2"/>
  <c r="H667" i="7"/>
  <c r="E668" i="7"/>
  <c r="M667" i="7" s="1"/>
  <c r="F667" i="7"/>
  <c r="G667" i="7"/>
  <c r="G694" i="7"/>
  <c r="E695" i="7"/>
  <c r="F694" i="7"/>
  <c r="H694" i="7"/>
  <c r="E686" i="7"/>
  <c r="M685" i="7" s="1"/>
  <c r="F685" i="7"/>
  <c r="G685" i="7"/>
  <c r="H685" i="7"/>
  <c r="G658" i="7"/>
  <c r="F658" i="7"/>
  <c r="H658" i="7"/>
  <c r="B745" i="7"/>
  <c r="A747" i="7"/>
  <c r="A748" i="7" s="1"/>
  <c r="A749" i="7" s="1"/>
  <c r="A750" i="7" s="1"/>
  <c r="A751" i="7" s="1"/>
  <c r="A752" i="7" s="1"/>
  <c r="A753" i="7" s="1"/>
  <c r="A754" i="7" s="1"/>
  <c r="A755" i="7" s="1"/>
  <c r="A756" i="7" s="1"/>
  <c r="G721" i="7" l="1"/>
  <c r="J721" i="7" s="1"/>
  <c r="F721" i="7"/>
  <c r="J722" i="7" s="1"/>
  <c r="H721" i="7"/>
  <c r="I721" i="7" s="1"/>
  <c r="G703" i="7"/>
  <c r="F703" i="7"/>
  <c r="E704" i="7"/>
  <c r="M703" i="7" s="1"/>
  <c r="D711" i="7"/>
  <c r="D713" i="7" s="1"/>
  <c r="F712" i="7"/>
  <c r="G712" i="7"/>
  <c r="E731" i="7"/>
  <c r="G731" i="7" s="1"/>
  <c r="J731" i="7" s="1"/>
  <c r="E713" i="7"/>
  <c r="K317" i="7"/>
  <c r="M316" i="7"/>
  <c r="F676" i="7"/>
  <c r="E677" i="7"/>
  <c r="E678" i="7" s="1"/>
  <c r="M677" i="7" s="1"/>
  <c r="H712" i="7"/>
  <c r="H676" i="7"/>
  <c r="J743" i="7"/>
  <c r="J744" i="7" s="1"/>
  <c r="G676" i="7"/>
  <c r="D697" i="7"/>
  <c r="L698" i="7" s="1"/>
  <c r="L696" i="7"/>
  <c r="D705" i="7"/>
  <c r="L704" i="7"/>
  <c r="AG85" i="2"/>
  <c r="F686" i="7"/>
  <c r="E687" i="7"/>
  <c r="G686" i="7"/>
  <c r="H686" i="7"/>
  <c r="G695" i="7"/>
  <c r="F695" i="7"/>
  <c r="E696" i="7"/>
  <c r="M695" i="7" s="1"/>
  <c r="H695" i="7"/>
  <c r="F722" i="7"/>
  <c r="E723" i="7"/>
  <c r="H722" i="7"/>
  <c r="G722" i="7"/>
  <c r="F668" i="7"/>
  <c r="G668" i="7"/>
  <c r="H668" i="7"/>
  <c r="A757" i="7"/>
  <c r="A758" i="7" s="1"/>
  <c r="A759" i="7" s="1"/>
  <c r="A760" i="7" s="1"/>
  <c r="A761" i="7" s="1"/>
  <c r="A762" i="7" s="1"/>
  <c r="A763" i="7" s="1"/>
  <c r="A764" i="7" s="1"/>
  <c r="A765" i="7" s="1"/>
  <c r="A766" i="7" s="1"/>
  <c r="B755" i="7"/>
  <c r="D721" i="7" l="1"/>
  <c r="G713" i="7"/>
  <c r="E714" i="7"/>
  <c r="E715" i="7" s="1"/>
  <c r="G704" i="7"/>
  <c r="E705" i="7"/>
  <c r="G705" i="7" s="1"/>
  <c r="H704" i="7"/>
  <c r="F704" i="7"/>
  <c r="L712" i="7"/>
  <c r="H713" i="7"/>
  <c r="F713" i="7"/>
  <c r="H731" i="7"/>
  <c r="I731" i="7" s="1"/>
  <c r="D731" i="7" s="1"/>
  <c r="F731" i="7"/>
  <c r="J732" i="7" s="1"/>
  <c r="E732" i="7"/>
  <c r="M731" i="7" s="1"/>
  <c r="F677" i="7"/>
  <c r="G677" i="7"/>
  <c r="H677" i="7"/>
  <c r="K319" i="7"/>
  <c r="K323" i="7" s="1"/>
  <c r="M318" i="7"/>
  <c r="J753" i="7"/>
  <c r="J754" i="7" s="1"/>
  <c r="E741" i="7"/>
  <c r="E742" i="7" s="1"/>
  <c r="M741" i="7" s="1"/>
  <c r="D723" i="7"/>
  <c r="L722" i="7"/>
  <c r="D707" i="7"/>
  <c r="L708" i="7" s="1"/>
  <c r="L706" i="7"/>
  <c r="D715" i="7"/>
  <c r="L714" i="7"/>
  <c r="AG86" i="2"/>
  <c r="F687" i="7"/>
  <c r="G687" i="7"/>
  <c r="H687" i="7"/>
  <c r="E688" i="7"/>
  <c r="M687" i="7" s="1"/>
  <c r="G696" i="7"/>
  <c r="F696" i="7"/>
  <c r="H696" i="7"/>
  <c r="E697" i="7"/>
  <c r="G723" i="7"/>
  <c r="F723" i="7"/>
  <c r="H723" i="7"/>
  <c r="E724" i="7"/>
  <c r="M723" i="7" s="1"/>
  <c r="H678" i="7"/>
  <c r="G678" i="7"/>
  <c r="F678" i="7"/>
  <c r="A767" i="7"/>
  <c r="A768" i="7" s="1"/>
  <c r="A769" i="7" s="1"/>
  <c r="A770" i="7" s="1"/>
  <c r="A771" i="7" s="1"/>
  <c r="A772" i="7" s="1"/>
  <c r="A773" i="7" s="1"/>
  <c r="A774" i="7" s="1"/>
  <c r="A775" i="7" s="1"/>
  <c r="A776" i="7" s="1"/>
  <c r="B765" i="7"/>
  <c r="E706" i="7" l="1"/>
  <c r="M705" i="7" s="1"/>
  <c r="H705" i="7"/>
  <c r="F705" i="7"/>
  <c r="M713" i="7"/>
  <c r="G714" i="7"/>
  <c r="F715" i="7"/>
  <c r="H714" i="7"/>
  <c r="F714" i="7"/>
  <c r="G732" i="7"/>
  <c r="H732" i="7"/>
  <c r="F732" i="7"/>
  <c r="G741" i="7"/>
  <c r="J741" i="7" s="1"/>
  <c r="E733" i="7"/>
  <c r="H733" i="7" s="1"/>
  <c r="E751" i="7"/>
  <c r="F751" i="7" s="1"/>
  <c r="J752" i="7" s="1"/>
  <c r="F741" i="7"/>
  <c r="J742" i="7" s="1"/>
  <c r="H741" i="7"/>
  <c r="I741" i="7" s="1"/>
  <c r="K325" i="7"/>
  <c r="M324" i="7"/>
  <c r="J763" i="7"/>
  <c r="J764" i="7" s="1"/>
  <c r="D717" i="7"/>
  <c r="L718" i="7" s="1"/>
  <c r="L716" i="7"/>
  <c r="D733" i="7"/>
  <c r="L732" i="7"/>
  <c r="D725" i="7"/>
  <c r="L724" i="7"/>
  <c r="AG87" i="2"/>
  <c r="E743" i="7"/>
  <c r="G742" i="7"/>
  <c r="H742" i="7"/>
  <c r="F742" i="7"/>
  <c r="H706" i="7"/>
  <c r="F706" i="7"/>
  <c r="H688" i="7"/>
  <c r="G688" i="7"/>
  <c r="F688" i="7"/>
  <c r="H724" i="7"/>
  <c r="G724" i="7"/>
  <c r="E725" i="7"/>
  <c r="F724" i="7"/>
  <c r="H697" i="7"/>
  <c r="G697" i="7"/>
  <c r="F697" i="7"/>
  <c r="E698" i="7"/>
  <c r="M697" i="7" s="1"/>
  <c r="A777" i="7"/>
  <c r="A778" i="7" s="1"/>
  <c r="A779" i="7" s="1"/>
  <c r="A780" i="7" s="1"/>
  <c r="A781" i="7" s="1"/>
  <c r="A782" i="7" s="1"/>
  <c r="A783" i="7" s="1"/>
  <c r="A784" i="7" s="1"/>
  <c r="A785" i="7" s="1"/>
  <c r="A786" i="7" s="1"/>
  <c r="B775" i="7"/>
  <c r="G706" i="7" l="1"/>
  <c r="E707" i="7"/>
  <c r="H707" i="7" s="1"/>
  <c r="H715" i="7"/>
  <c r="E716" i="7"/>
  <c r="M715" i="7" s="1"/>
  <c r="G715" i="7"/>
  <c r="D741" i="7"/>
  <c r="L742" i="7" s="1"/>
  <c r="G751" i="7"/>
  <c r="J751" i="7" s="1"/>
  <c r="G733" i="7"/>
  <c r="H751" i="7"/>
  <c r="I751" i="7" s="1"/>
  <c r="E752" i="7"/>
  <c r="M751" i="7" s="1"/>
  <c r="F733" i="7"/>
  <c r="E734" i="7"/>
  <c r="M733" i="7" s="1"/>
  <c r="E761" i="7"/>
  <c r="G761" i="7" s="1"/>
  <c r="J761" i="7" s="1"/>
  <c r="K327" i="7"/>
  <c r="M326" i="7"/>
  <c r="J773" i="7"/>
  <c r="J774" i="7" s="1"/>
  <c r="D727" i="7"/>
  <c r="L728" i="7" s="1"/>
  <c r="L726" i="7"/>
  <c r="D735" i="7"/>
  <c r="L734" i="7"/>
  <c r="AG88" i="2"/>
  <c r="H698" i="7"/>
  <c r="G698" i="7"/>
  <c r="F698" i="7"/>
  <c r="E726" i="7"/>
  <c r="M725" i="7" s="1"/>
  <c r="F725" i="7"/>
  <c r="G725" i="7"/>
  <c r="H725" i="7"/>
  <c r="H743" i="7"/>
  <c r="G743" i="7"/>
  <c r="F743" i="7"/>
  <c r="E744" i="7"/>
  <c r="M743" i="7" s="1"/>
  <c r="B785" i="7"/>
  <c r="A787" i="7"/>
  <c r="A788" i="7" s="1"/>
  <c r="A789" i="7" s="1"/>
  <c r="A790" i="7" s="1"/>
  <c r="A791" i="7" s="1"/>
  <c r="A792" i="7" s="1"/>
  <c r="A793" i="7" s="1"/>
  <c r="A794" i="7" s="1"/>
  <c r="A795" i="7" s="1"/>
  <c r="A796" i="7" s="1"/>
  <c r="F707" i="7" l="1"/>
  <c r="G707" i="7"/>
  <c r="E708" i="7"/>
  <c r="M707" i="7" s="1"/>
  <c r="G716" i="7"/>
  <c r="F716" i="7"/>
  <c r="E717" i="7"/>
  <c r="F717" i="7" s="1"/>
  <c r="G752" i="7"/>
  <c r="D743" i="7"/>
  <c r="L744" i="7" s="1"/>
  <c r="H716" i="7"/>
  <c r="D751" i="7"/>
  <c r="D753" i="7" s="1"/>
  <c r="E753" i="7"/>
  <c r="F753" i="7" s="1"/>
  <c r="H752" i="7"/>
  <c r="E735" i="7"/>
  <c r="E736" i="7" s="1"/>
  <c r="M735" i="7" s="1"/>
  <c r="F734" i="7"/>
  <c r="F752" i="7"/>
  <c r="G734" i="7"/>
  <c r="H734" i="7"/>
  <c r="H761" i="7"/>
  <c r="I761" i="7" s="1"/>
  <c r="D761" i="7" s="1"/>
  <c r="F761" i="7"/>
  <c r="J762" i="7" s="1"/>
  <c r="E762" i="7"/>
  <c r="M761" i="7" s="1"/>
  <c r="E771" i="7"/>
  <c r="E772" i="7" s="1"/>
  <c r="M771" i="7" s="1"/>
  <c r="K329" i="7"/>
  <c r="K333" i="7" s="1"/>
  <c r="M328" i="7"/>
  <c r="J783" i="7"/>
  <c r="J784" i="7" s="1"/>
  <c r="D737" i="7"/>
  <c r="L738" i="7" s="1"/>
  <c r="L736" i="7"/>
  <c r="AG89" i="2"/>
  <c r="G744" i="7"/>
  <c r="H744" i="7"/>
  <c r="F744" i="7"/>
  <c r="E745" i="7"/>
  <c r="E727" i="7"/>
  <c r="F726" i="7"/>
  <c r="G726" i="7"/>
  <c r="H726" i="7"/>
  <c r="H708" i="7"/>
  <c r="G708" i="7"/>
  <c r="B795" i="7"/>
  <c r="A797" i="7"/>
  <c r="A798" i="7" s="1"/>
  <c r="A799" i="7" s="1"/>
  <c r="A800" i="7" s="1"/>
  <c r="A801" i="7" s="1"/>
  <c r="A802" i="7" s="1"/>
  <c r="A803" i="7" s="1"/>
  <c r="A804" i="7" s="1"/>
  <c r="A805" i="7" s="1"/>
  <c r="A806" i="7" s="1"/>
  <c r="F708" i="7" l="1"/>
  <c r="G717" i="7"/>
  <c r="D745" i="7"/>
  <c r="D747" i="7" s="1"/>
  <c r="L748" i="7" s="1"/>
  <c r="E718" i="7"/>
  <c r="M717" i="7" s="1"/>
  <c r="H717" i="7"/>
  <c r="H753" i="7"/>
  <c r="G753" i="7"/>
  <c r="E754" i="7"/>
  <c r="M753" i="7" s="1"/>
  <c r="L752" i="7"/>
  <c r="H771" i="7"/>
  <c r="I771" i="7" s="1"/>
  <c r="F771" i="7"/>
  <c r="J772" i="7" s="1"/>
  <c r="F735" i="7"/>
  <c r="G735" i="7"/>
  <c r="H735" i="7"/>
  <c r="H762" i="7"/>
  <c r="E763" i="7"/>
  <c r="E764" i="7" s="1"/>
  <c r="M763" i="7" s="1"/>
  <c r="F762" i="7"/>
  <c r="G771" i="7"/>
  <c r="J771" i="7" s="1"/>
  <c r="G762" i="7"/>
  <c r="K335" i="7"/>
  <c r="M334" i="7"/>
  <c r="J793" i="7"/>
  <c r="J794" i="7" s="1"/>
  <c r="E781" i="7"/>
  <c r="H781" i="7" s="1"/>
  <c r="I781" i="7" s="1"/>
  <c r="D763" i="7"/>
  <c r="L762" i="7"/>
  <c r="D755" i="7"/>
  <c r="L754" i="7"/>
  <c r="AG90" i="2"/>
  <c r="F772" i="7"/>
  <c r="G772" i="7"/>
  <c r="H772" i="7"/>
  <c r="E773" i="7"/>
  <c r="G745" i="7"/>
  <c r="E746" i="7"/>
  <c r="M745" i="7" s="1"/>
  <c r="H745" i="7"/>
  <c r="F745" i="7"/>
  <c r="E728" i="7"/>
  <c r="M727" i="7" s="1"/>
  <c r="H727" i="7"/>
  <c r="G727" i="7"/>
  <c r="F727" i="7"/>
  <c r="F736" i="7"/>
  <c r="E737" i="7"/>
  <c r="G736" i="7"/>
  <c r="H736" i="7"/>
  <c r="A807" i="7"/>
  <c r="A808" i="7" s="1"/>
  <c r="A809" i="7" s="1"/>
  <c r="A810" i="7" s="1"/>
  <c r="A811" i="7" s="1"/>
  <c r="A812" i="7" s="1"/>
  <c r="A813" i="7" s="1"/>
  <c r="A814" i="7" s="1"/>
  <c r="A815" i="7" s="1"/>
  <c r="A816" i="7" s="1"/>
  <c r="B805" i="7"/>
  <c r="L746" i="7" l="1"/>
  <c r="H718" i="7"/>
  <c r="F718" i="7"/>
  <c r="G718" i="7"/>
  <c r="D771" i="7"/>
  <c r="D773" i="7" s="1"/>
  <c r="E755" i="7"/>
  <c r="G755" i="7" s="1"/>
  <c r="G754" i="7"/>
  <c r="H754" i="7"/>
  <c r="F754" i="7"/>
  <c r="F763" i="7"/>
  <c r="G763" i="7"/>
  <c r="H763" i="7"/>
  <c r="F781" i="7"/>
  <c r="J782" i="7" s="1"/>
  <c r="K337" i="7"/>
  <c r="M336" i="7"/>
  <c r="E791" i="7"/>
  <c r="H791" i="7" s="1"/>
  <c r="I791" i="7" s="1"/>
  <c r="E782" i="7"/>
  <c r="M781" i="7" s="1"/>
  <c r="G781" i="7"/>
  <c r="J781" i="7" s="1"/>
  <c r="D781" i="7" s="1"/>
  <c r="J803" i="7"/>
  <c r="J804" i="7" s="1"/>
  <c r="D757" i="7"/>
  <c r="L758" i="7" s="1"/>
  <c r="L756" i="7"/>
  <c r="D765" i="7"/>
  <c r="L764" i="7"/>
  <c r="AG91" i="2"/>
  <c r="F737" i="7"/>
  <c r="G737" i="7"/>
  <c r="H737" i="7"/>
  <c r="E738" i="7"/>
  <c r="M737" i="7" s="1"/>
  <c r="F773" i="7"/>
  <c r="H773" i="7"/>
  <c r="E774" i="7"/>
  <c r="M773" i="7" s="1"/>
  <c r="G773" i="7"/>
  <c r="G746" i="7"/>
  <c r="E747" i="7"/>
  <c r="F746" i="7"/>
  <c r="H746" i="7"/>
  <c r="E765" i="7"/>
  <c r="H764" i="7"/>
  <c r="G764" i="7"/>
  <c r="F764" i="7"/>
  <c r="H728" i="7"/>
  <c r="G728" i="7"/>
  <c r="F728" i="7"/>
  <c r="A817" i="7"/>
  <c r="A818" i="7" s="1"/>
  <c r="A819" i="7" s="1"/>
  <c r="A820" i="7" s="1"/>
  <c r="A821" i="7" s="1"/>
  <c r="A822" i="7" s="1"/>
  <c r="A823" i="7" s="1"/>
  <c r="A824" i="7" s="1"/>
  <c r="A825" i="7" s="1"/>
  <c r="A826" i="7" s="1"/>
  <c r="B815" i="7"/>
  <c r="F755" i="7" l="1"/>
  <c r="L772" i="7"/>
  <c r="H755" i="7"/>
  <c r="E756" i="7"/>
  <c r="M755" i="7" s="1"/>
  <c r="G791" i="7"/>
  <c r="J791" i="7" s="1"/>
  <c r="D791" i="7" s="1"/>
  <c r="F782" i="7"/>
  <c r="F791" i="7"/>
  <c r="J792" i="7" s="1"/>
  <c r="G782" i="7"/>
  <c r="E792" i="7"/>
  <c r="M791" i="7" s="1"/>
  <c r="E783" i="7"/>
  <c r="G783" i="7" s="1"/>
  <c r="E801" i="7"/>
  <c r="H801" i="7" s="1"/>
  <c r="I801" i="7" s="1"/>
  <c r="K339" i="7"/>
  <c r="K343" i="7" s="1"/>
  <c r="M338" i="7"/>
  <c r="J813" i="7"/>
  <c r="J814" i="7" s="1"/>
  <c r="H782" i="7"/>
  <c r="D767" i="7"/>
  <c r="L768" i="7" s="1"/>
  <c r="L766" i="7"/>
  <c r="D783" i="7"/>
  <c r="L782" i="7"/>
  <c r="D775" i="7"/>
  <c r="L774" i="7"/>
  <c r="AG92" i="2"/>
  <c r="H738" i="7"/>
  <c r="F738" i="7"/>
  <c r="G738" i="7"/>
  <c r="E766" i="7"/>
  <c r="M765" i="7" s="1"/>
  <c r="H765" i="7"/>
  <c r="G765" i="7"/>
  <c r="F765" i="7"/>
  <c r="H747" i="7"/>
  <c r="G747" i="7"/>
  <c r="F747" i="7"/>
  <c r="E748" i="7"/>
  <c r="M747" i="7" s="1"/>
  <c r="H774" i="7"/>
  <c r="G774" i="7"/>
  <c r="F774" i="7"/>
  <c r="E775" i="7"/>
  <c r="A827" i="7"/>
  <c r="A828" i="7" s="1"/>
  <c r="A829" i="7" s="1"/>
  <c r="A830" i="7" s="1"/>
  <c r="A831" i="7" s="1"/>
  <c r="A832" i="7" s="1"/>
  <c r="A833" i="7" s="1"/>
  <c r="A834" i="7" s="1"/>
  <c r="A835" i="7" s="1"/>
  <c r="A836" i="7" s="1"/>
  <c r="B825" i="7"/>
  <c r="H756" i="7" l="1"/>
  <c r="F756" i="7"/>
  <c r="E757" i="7"/>
  <c r="H757" i="7" s="1"/>
  <c r="G756" i="7"/>
  <c r="E811" i="7"/>
  <c r="E812" i="7" s="1"/>
  <c r="M811" i="7" s="1"/>
  <c r="F801" i="7"/>
  <c r="J802" i="7" s="1"/>
  <c r="G801" i="7"/>
  <c r="J801" i="7" s="1"/>
  <c r="D801" i="7" s="1"/>
  <c r="H783" i="7"/>
  <c r="E784" i="7"/>
  <c r="M783" i="7" s="1"/>
  <c r="F783" i="7"/>
  <c r="E802" i="7"/>
  <c r="M801" i="7" s="1"/>
  <c r="E793" i="7"/>
  <c r="G793" i="7" s="1"/>
  <c r="G792" i="7"/>
  <c r="F792" i="7"/>
  <c r="H792" i="7"/>
  <c r="K345" i="7"/>
  <c r="M344" i="7"/>
  <c r="J823" i="7"/>
  <c r="J824" i="7" s="1"/>
  <c r="D785" i="7"/>
  <c r="L784" i="7"/>
  <c r="D793" i="7"/>
  <c r="L792" i="7"/>
  <c r="D777" i="7"/>
  <c r="L778" i="7" s="1"/>
  <c r="L776" i="7"/>
  <c r="AG93" i="2"/>
  <c r="G748" i="7"/>
  <c r="F748" i="7"/>
  <c r="H748" i="7"/>
  <c r="G766" i="7"/>
  <c r="E767" i="7"/>
  <c r="H766" i="7"/>
  <c r="F766" i="7"/>
  <c r="H775" i="7"/>
  <c r="E776" i="7"/>
  <c r="M775" i="7" s="1"/>
  <c r="G775" i="7"/>
  <c r="F775" i="7"/>
  <c r="A837" i="7"/>
  <c r="A838" i="7" s="1"/>
  <c r="A839" i="7" s="1"/>
  <c r="A840" i="7" s="1"/>
  <c r="A841" i="7" s="1"/>
  <c r="A842" i="7" s="1"/>
  <c r="A843" i="7" s="1"/>
  <c r="A844" i="7" s="1"/>
  <c r="A845" i="7" s="1"/>
  <c r="A846" i="7" s="1"/>
  <c r="B835" i="7"/>
  <c r="E758" i="7" l="1"/>
  <c r="M757" i="7" s="1"/>
  <c r="F757" i="7"/>
  <c r="G757" i="7"/>
  <c r="F811" i="7"/>
  <c r="J812" i="7" s="1"/>
  <c r="G811" i="7"/>
  <c r="J811" i="7" s="1"/>
  <c r="H811" i="7"/>
  <c r="I811" i="7" s="1"/>
  <c r="E785" i="7"/>
  <c r="E786" i="7" s="1"/>
  <c r="M785" i="7" s="1"/>
  <c r="G802" i="7"/>
  <c r="E803" i="7"/>
  <c r="H803" i="7" s="1"/>
  <c r="H802" i="7"/>
  <c r="F802" i="7"/>
  <c r="F784" i="7"/>
  <c r="H793" i="7"/>
  <c r="G784" i="7"/>
  <c r="F793" i="7"/>
  <c r="H784" i="7"/>
  <c r="E794" i="7"/>
  <c r="M793" i="7" s="1"/>
  <c r="K347" i="7"/>
  <c r="M346" i="7"/>
  <c r="J833" i="7"/>
  <c r="J834" i="7" s="1"/>
  <c r="E821" i="7"/>
  <c r="E822" i="7" s="1"/>
  <c r="M821" i="7" s="1"/>
  <c r="D803" i="7"/>
  <c r="L802" i="7"/>
  <c r="D795" i="7"/>
  <c r="L794" i="7"/>
  <c r="D787" i="7"/>
  <c r="L788" i="7" s="1"/>
  <c r="L786" i="7"/>
  <c r="AG94" i="2"/>
  <c r="E813" i="7"/>
  <c r="F812" i="7"/>
  <c r="H812" i="7"/>
  <c r="G812" i="7"/>
  <c r="G803" i="7"/>
  <c r="F776" i="7"/>
  <c r="E777" i="7"/>
  <c r="H776" i="7"/>
  <c r="G776" i="7"/>
  <c r="G767" i="7"/>
  <c r="H767" i="7"/>
  <c r="F767" i="7"/>
  <c r="E768" i="7"/>
  <c r="M767" i="7" s="1"/>
  <c r="B845" i="7"/>
  <c r="A847" i="7"/>
  <c r="A848" i="7" s="1"/>
  <c r="A849" i="7" s="1"/>
  <c r="A850" i="7" s="1"/>
  <c r="A851" i="7" s="1"/>
  <c r="A852" i="7" s="1"/>
  <c r="A853" i="7" s="1"/>
  <c r="A854" i="7" s="1"/>
  <c r="A855" i="7" s="1"/>
  <c r="A856" i="7" s="1"/>
  <c r="G758" i="7" l="1"/>
  <c r="H758" i="7"/>
  <c r="F758" i="7"/>
  <c r="D811" i="7"/>
  <c r="D813" i="7" s="1"/>
  <c r="E804" i="7"/>
  <c r="M803" i="7" s="1"/>
  <c r="F803" i="7"/>
  <c r="F785" i="7"/>
  <c r="G785" i="7"/>
  <c r="H785" i="7"/>
  <c r="E795" i="7"/>
  <c r="F795" i="7" s="1"/>
  <c r="G794" i="7"/>
  <c r="H794" i="7"/>
  <c r="F794" i="7"/>
  <c r="K349" i="7"/>
  <c r="K353" i="7" s="1"/>
  <c r="M348" i="7"/>
  <c r="G821" i="7"/>
  <c r="J821" i="7" s="1"/>
  <c r="E831" i="7"/>
  <c r="F831" i="7" s="1"/>
  <c r="J832" i="7" s="1"/>
  <c r="J843" i="7"/>
  <c r="J844" i="7" s="1"/>
  <c r="F821" i="7"/>
  <c r="J822" i="7" s="1"/>
  <c r="H821" i="7"/>
  <c r="I821" i="7" s="1"/>
  <c r="L812" i="7"/>
  <c r="D797" i="7"/>
  <c r="L798" i="7" s="1"/>
  <c r="L796" i="7"/>
  <c r="D805" i="7"/>
  <c r="L804" i="7"/>
  <c r="AG95" i="2"/>
  <c r="E823" i="7"/>
  <c r="G822" i="7"/>
  <c r="H822" i="7"/>
  <c r="F822" i="7"/>
  <c r="G777" i="7"/>
  <c r="H777" i="7"/>
  <c r="F777" i="7"/>
  <c r="E778" i="7"/>
  <c r="M777" i="7" s="1"/>
  <c r="G768" i="7"/>
  <c r="H768" i="7"/>
  <c r="F768" i="7"/>
  <c r="E787" i="7"/>
  <c r="H786" i="7"/>
  <c r="F786" i="7"/>
  <c r="G786" i="7"/>
  <c r="G813" i="7"/>
  <c r="H813" i="7"/>
  <c r="E814" i="7"/>
  <c r="M813" i="7" s="1"/>
  <c r="F813" i="7"/>
  <c r="A857" i="7"/>
  <c r="A858" i="7" s="1"/>
  <c r="A859" i="7" s="1"/>
  <c r="A860" i="7" s="1"/>
  <c r="A861" i="7" s="1"/>
  <c r="A862" i="7" s="1"/>
  <c r="A863" i="7" s="1"/>
  <c r="A864" i="7" s="1"/>
  <c r="A865" i="7" s="1"/>
  <c r="A866" i="7" s="1"/>
  <c r="B855" i="7"/>
  <c r="F804" i="7" l="1"/>
  <c r="G804" i="7"/>
  <c r="E805" i="7"/>
  <c r="E806" i="7" s="1"/>
  <c r="M805" i="7" s="1"/>
  <c r="H804" i="7"/>
  <c r="E796" i="7"/>
  <c r="M795" i="7" s="1"/>
  <c r="H795" i="7"/>
  <c r="G795" i="7"/>
  <c r="E832" i="7"/>
  <c r="M831" i="7" s="1"/>
  <c r="D821" i="7"/>
  <c r="D823" i="7" s="1"/>
  <c r="H831" i="7"/>
  <c r="I831" i="7" s="1"/>
  <c r="G831" i="7"/>
  <c r="J831" i="7" s="1"/>
  <c r="K355" i="7"/>
  <c r="M354" i="7"/>
  <c r="J853" i="7"/>
  <c r="J854" i="7" s="1"/>
  <c r="E841" i="7"/>
  <c r="E842" i="7" s="1"/>
  <c r="M841" i="7" s="1"/>
  <c r="D807" i="7"/>
  <c r="L808" i="7" s="1"/>
  <c r="L806" i="7"/>
  <c r="D815" i="7"/>
  <c r="L814" i="7"/>
  <c r="AG96" i="2"/>
  <c r="H778" i="7"/>
  <c r="G778" i="7"/>
  <c r="F778" i="7"/>
  <c r="H787" i="7"/>
  <c r="G787" i="7"/>
  <c r="F787" i="7"/>
  <c r="E788" i="7"/>
  <c r="M787" i="7" s="1"/>
  <c r="H814" i="7"/>
  <c r="F814" i="7"/>
  <c r="E815" i="7"/>
  <c r="G814" i="7"/>
  <c r="G823" i="7"/>
  <c r="F823" i="7"/>
  <c r="E824" i="7"/>
  <c r="M823" i="7" s="1"/>
  <c r="H823" i="7"/>
  <c r="H805" i="7"/>
  <c r="F805" i="7"/>
  <c r="B865" i="7"/>
  <c r="A867" i="7"/>
  <c r="A868" i="7" s="1"/>
  <c r="A869" i="7" s="1"/>
  <c r="A870" i="7" s="1"/>
  <c r="A871" i="7" s="1"/>
  <c r="A872" i="7" s="1"/>
  <c r="A873" i="7" s="1"/>
  <c r="A874" i="7" s="1"/>
  <c r="A875" i="7" s="1"/>
  <c r="A876" i="7" s="1"/>
  <c r="G805" i="7" l="1"/>
  <c r="F796" i="7"/>
  <c r="E833" i="7"/>
  <c r="H796" i="7"/>
  <c r="G796" i="7"/>
  <c r="E797" i="7"/>
  <c r="F797" i="7" s="1"/>
  <c r="H832" i="7"/>
  <c r="G832" i="7"/>
  <c r="F832" i="7"/>
  <c r="D831" i="7"/>
  <c r="D833" i="7" s="1"/>
  <c r="L822" i="7"/>
  <c r="F841" i="7"/>
  <c r="J842" i="7" s="1"/>
  <c r="H841" i="7"/>
  <c r="I841" i="7" s="1"/>
  <c r="E851" i="7"/>
  <c r="G851" i="7" s="1"/>
  <c r="J851" i="7" s="1"/>
  <c r="K357" i="7"/>
  <c r="M356" i="7"/>
  <c r="J863" i="7"/>
  <c r="J864" i="7" s="1"/>
  <c r="G841" i="7"/>
  <c r="J841" i="7" s="1"/>
  <c r="D817" i="7"/>
  <c r="L818" i="7" s="1"/>
  <c r="L816" i="7"/>
  <c r="D825" i="7"/>
  <c r="L824" i="7"/>
  <c r="AG97" i="2"/>
  <c r="E843" i="7"/>
  <c r="H842" i="7"/>
  <c r="G842" i="7"/>
  <c r="F842" i="7"/>
  <c r="G824" i="7"/>
  <c r="E825" i="7"/>
  <c r="F824" i="7"/>
  <c r="H824" i="7"/>
  <c r="E816" i="7"/>
  <c r="M815" i="7" s="1"/>
  <c r="H815" i="7"/>
  <c r="G815" i="7"/>
  <c r="F815" i="7"/>
  <c r="H833" i="7"/>
  <c r="E834" i="7"/>
  <c r="M833" i="7" s="1"/>
  <c r="F833" i="7"/>
  <c r="G833" i="7"/>
  <c r="E807" i="7"/>
  <c r="F806" i="7"/>
  <c r="H806" i="7"/>
  <c r="G806" i="7"/>
  <c r="G788" i="7"/>
  <c r="H788" i="7"/>
  <c r="F788" i="7"/>
  <c r="B875" i="7"/>
  <c r="A877" i="7"/>
  <c r="A878" i="7" s="1"/>
  <c r="A879" i="7" s="1"/>
  <c r="A880" i="7" s="1"/>
  <c r="A881" i="7" s="1"/>
  <c r="A882" i="7" s="1"/>
  <c r="A883" i="7" s="1"/>
  <c r="A884" i="7" s="1"/>
  <c r="A885" i="7" s="1"/>
  <c r="A886" i="7" s="1"/>
  <c r="E798" i="7" l="1"/>
  <c r="M797" i="7" s="1"/>
  <c r="H797" i="7"/>
  <c r="G797" i="7"/>
  <c r="L832" i="7"/>
  <c r="D841" i="7"/>
  <c r="L842" i="7" s="1"/>
  <c r="E852" i="7"/>
  <c r="M851" i="7" s="1"/>
  <c r="H851" i="7"/>
  <c r="I851" i="7" s="1"/>
  <c r="D851" i="7" s="1"/>
  <c r="F851" i="7"/>
  <c r="J852" i="7" s="1"/>
  <c r="E861" i="7"/>
  <c r="H861" i="7" s="1"/>
  <c r="I861" i="7" s="1"/>
  <c r="K359" i="7"/>
  <c r="K363" i="7" s="1"/>
  <c r="M358" i="7"/>
  <c r="J873" i="7"/>
  <c r="J874" i="7" s="1"/>
  <c r="D827" i="7"/>
  <c r="L828" i="7" s="1"/>
  <c r="L826" i="7"/>
  <c r="D835" i="7"/>
  <c r="L834" i="7"/>
  <c r="AG98" i="2"/>
  <c r="E808" i="7"/>
  <c r="M807" i="7" s="1"/>
  <c r="H807" i="7"/>
  <c r="G807" i="7"/>
  <c r="F807" i="7"/>
  <c r="F816" i="7"/>
  <c r="G816" i="7"/>
  <c r="H816" i="7"/>
  <c r="E817" i="7"/>
  <c r="E844" i="7"/>
  <c r="M843" i="7" s="1"/>
  <c r="F843" i="7"/>
  <c r="G843" i="7"/>
  <c r="H843" i="7"/>
  <c r="H798" i="7"/>
  <c r="G798" i="7"/>
  <c r="F798" i="7"/>
  <c r="F834" i="7"/>
  <c r="E835" i="7"/>
  <c r="G834" i="7"/>
  <c r="H834" i="7"/>
  <c r="G825" i="7"/>
  <c r="E826" i="7"/>
  <c r="M825" i="7" s="1"/>
  <c r="H825" i="7"/>
  <c r="F825" i="7"/>
  <c r="B885" i="7"/>
  <c r="A887" i="7"/>
  <c r="A888" i="7" s="1"/>
  <c r="A889" i="7" s="1"/>
  <c r="A890" i="7" s="1"/>
  <c r="A891" i="7" s="1"/>
  <c r="A892" i="7" s="1"/>
  <c r="A893" i="7" s="1"/>
  <c r="A894" i="7" s="1"/>
  <c r="A895" i="7" s="1"/>
  <c r="A896" i="7" s="1"/>
  <c r="D843" i="7" l="1"/>
  <c r="H852" i="7"/>
  <c r="F852" i="7"/>
  <c r="G852" i="7"/>
  <c r="E853" i="7"/>
  <c r="G853" i="7" s="1"/>
  <c r="G861" i="7"/>
  <c r="J861" i="7" s="1"/>
  <c r="D861" i="7" s="1"/>
  <c r="E862" i="7"/>
  <c r="M861" i="7" s="1"/>
  <c r="F861" i="7"/>
  <c r="J862" i="7" s="1"/>
  <c r="K365" i="7"/>
  <c r="M364" i="7"/>
  <c r="J883" i="7"/>
  <c r="J884" i="7" s="1"/>
  <c r="E871" i="7"/>
  <c r="F871" i="7" s="1"/>
  <c r="J872" i="7" s="1"/>
  <c r="D845" i="7"/>
  <c r="L844" i="7"/>
  <c r="D837" i="7"/>
  <c r="L838" i="7" s="1"/>
  <c r="L836" i="7"/>
  <c r="D853" i="7"/>
  <c r="L852" i="7"/>
  <c r="AG99" i="2"/>
  <c r="F817" i="7"/>
  <c r="G817" i="7"/>
  <c r="H817" i="7"/>
  <c r="E818" i="7"/>
  <c r="M817" i="7" s="1"/>
  <c r="G826" i="7"/>
  <c r="H826" i="7"/>
  <c r="E827" i="7"/>
  <c r="F826" i="7"/>
  <c r="E845" i="7"/>
  <c r="H844" i="7"/>
  <c r="F844" i="7"/>
  <c r="G844" i="7"/>
  <c r="G835" i="7"/>
  <c r="H835" i="7"/>
  <c r="F835" i="7"/>
  <c r="E836" i="7"/>
  <c r="M835" i="7" s="1"/>
  <c r="H808" i="7"/>
  <c r="F808" i="7"/>
  <c r="G808" i="7"/>
  <c r="B895" i="7"/>
  <c r="A897" i="7"/>
  <c r="A898" i="7" s="1"/>
  <c r="A899" i="7" s="1"/>
  <c r="A900" i="7" s="1"/>
  <c r="A901" i="7" s="1"/>
  <c r="A902" i="7" s="1"/>
  <c r="A903" i="7" s="1"/>
  <c r="A904" i="7" s="1"/>
  <c r="A905" i="7" s="1"/>
  <c r="A906" i="7" s="1"/>
  <c r="E854" i="7" l="1"/>
  <c r="M853" i="7" s="1"/>
  <c r="H853" i="7"/>
  <c r="F853" i="7"/>
  <c r="G862" i="7"/>
  <c r="F862" i="7"/>
  <c r="H862" i="7"/>
  <c r="E863" i="7"/>
  <c r="E864" i="7" s="1"/>
  <c r="M863" i="7" s="1"/>
  <c r="K367" i="7"/>
  <c r="M366" i="7"/>
  <c r="H871" i="7"/>
  <c r="I871" i="7" s="1"/>
  <c r="E881" i="7"/>
  <c r="E882" i="7" s="1"/>
  <c r="M881" i="7" s="1"/>
  <c r="G871" i="7"/>
  <c r="J871" i="7" s="1"/>
  <c r="E872" i="7"/>
  <c r="M871" i="7" s="1"/>
  <c r="J893" i="7"/>
  <c r="J894" i="7" s="1"/>
  <c r="D855" i="7"/>
  <c r="L854" i="7"/>
  <c r="D863" i="7"/>
  <c r="L862" i="7"/>
  <c r="D847" i="7"/>
  <c r="L848" i="7" s="1"/>
  <c r="L846" i="7"/>
  <c r="AG100" i="2"/>
  <c r="F854" i="7"/>
  <c r="H827" i="7"/>
  <c r="F827" i="7"/>
  <c r="G827" i="7"/>
  <c r="E828" i="7"/>
  <c r="M827" i="7" s="1"/>
  <c r="H818" i="7"/>
  <c r="G818" i="7"/>
  <c r="F818" i="7"/>
  <c r="H836" i="7"/>
  <c r="G836" i="7"/>
  <c r="F836" i="7"/>
  <c r="E837" i="7"/>
  <c r="G845" i="7"/>
  <c r="F845" i="7"/>
  <c r="E846" i="7"/>
  <c r="M845" i="7" s="1"/>
  <c r="H845" i="7"/>
  <c r="A907" i="7"/>
  <c r="A908" i="7" s="1"/>
  <c r="A909" i="7" s="1"/>
  <c r="A910" i="7" s="1"/>
  <c r="A911" i="7" s="1"/>
  <c r="A912" i="7" s="1"/>
  <c r="A913" i="7" s="1"/>
  <c r="A914" i="7" s="1"/>
  <c r="A915" i="7" s="1"/>
  <c r="A916" i="7" s="1"/>
  <c r="B905" i="7"/>
  <c r="E855" i="7" l="1"/>
  <c r="F855" i="7" s="1"/>
  <c r="G854" i="7"/>
  <c r="H854" i="7"/>
  <c r="H863" i="7"/>
  <c r="D871" i="7"/>
  <c r="L872" i="7" s="1"/>
  <c r="G863" i="7"/>
  <c r="F863" i="7"/>
  <c r="G881" i="7"/>
  <c r="J881" i="7" s="1"/>
  <c r="F881" i="7"/>
  <c r="J882" i="7" s="1"/>
  <c r="H881" i="7"/>
  <c r="I881" i="7" s="1"/>
  <c r="K369" i="7"/>
  <c r="K373" i="7" s="1"/>
  <c r="M368" i="7"/>
  <c r="H872" i="7"/>
  <c r="G872" i="7"/>
  <c r="E891" i="7"/>
  <c r="G891" i="7" s="1"/>
  <c r="J891" i="7" s="1"/>
  <c r="J903" i="7"/>
  <c r="J904" i="7" s="1"/>
  <c r="E873" i="7"/>
  <c r="H873" i="7" s="1"/>
  <c r="F872" i="7"/>
  <c r="D865" i="7"/>
  <c r="L864" i="7"/>
  <c r="D857" i="7"/>
  <c r="L858" i="7" s="1"/>
  <c r="L856" i="7"/>
  <c r="AG101" i="2"/>
  <c r="G846" i="7"/>
  <c r="E847" i="7"/>
  <c r="F846" i="7"/>
  <c r="H846" i="7"/>
  <c r="G828" i="7"/>
  <c r="F828" i="7"/>
  <c r="H828" i="7"/>
  <c r="G864" i="7"/>
  <c r="F864" i="7"/>
  <c r="E865" i="7"/>
  <c r="H864" i="7"/>
  <c r="H882" i="7"/>
  <c r="E883" i="7"/>
  <c r="G882" i="7"/>
  <c r="F882" i="7"/>
  <c r="E838" i="7"/>
  <c r="M837" i="7" s="1"/>
  <c r="G837" i="7"/>
  <c r="F837" i="7"/>
  <c r="H837" i="7"/>
  <c r="A917" i="7"/>
  <c r="A918" i="7" s="1"/>
  <c r="A919" i="7" s="1"/>
  <c r="A920" i="7" s="1"/>
  <c r="A921" i="7" s="1"/>
  <c r="A922" i="7" s="1"/>
  <c r="A923" i="7" s="1"/>
  <c r="A924" i="7" s="1"/>
  <c r="A925" i="7" s="1"/>
  <c r="A926" i="7" s="1"/>
  <c r="B915" i="7"/>
  <c r="E856" i="7" l="1"/>
  <c r="M855" i="7" s="1"/>
  <c r="H855" i="7"/>
  <c r="G855" i="7"/>
  <c r="D873" i="7"/>
  <c r="L874" i="7" s="1"/>
  <c r="D881" i="7"/>
  <c r="D883" i="7" s="1"/>
  <c r="E874" i="7"/>
  <c r="M873" i="7" s="1"/>
  <c r="G873" i="7"/>
  <c r="H891" i="7"/>
  <c r="I891" i="7" s="1"/>
  <c r="D891" i="7" s="1"/>
  <c r="F891" i="7"/>
  <c r="J892" i="7" s="1"/>
  <c r="E892" i="7"/>
  <c r="M891" i="7" s="1"/>
  <c r="K375" i="7"/>
  <c r="M374" i="7"/>
  <c r="E901" i="7"/>
  <c r="F901" i="7" s="1"/>
  <c r="J902" i="7" s="1"/>
  <c r="F873" i="7"/>
  <c r="J913" i="7"/>
  <c r="J914" i="7" s="1"/>
  <c r="D867" i="7"/>
  <c r="L868" i="7" s="1"/>
  <c r="L866" i="7"/>
  <c r="AG102" i="2"/>
  <c r="E884" i="7"/>
  <c r="M883" i="7" s="1"/>
  <c r="F883" i="7"/>
  <c r="G883" i="7"/>
  <c r="H883" i="7"/>
  <c r="G865" i="7"/>
  <c r="H865" i="7"/>
  <c r="E866" i="7"/>
  <c r="M865" i="7" s="1"/>
  <c r="F865" i="7"/>
  <c r="F856" i="7"/>
  <c r="E857" i="7"/>
  <c r="H856" i="7"/>
  <c r="G856" i="7"/>
  <c r="E848" i="7"/>
  <c r="M847" i="7" s="1"/>
  <c r="H847" i="7"/>
  <c r="F847" i="7"/>
  <c r="G847" i="7"/>
  <c r="F838" i="7"/>
  <c r="G838" i="7"/>
  <c r="H838" i="7"/>
  <c r="B925" i="7"/>
  <c r="A927" i="7"/>
  <c r="A928" i="7" s="1"/>
  <c r="A929" i="7" s="1"/>
  <c r="A930" i="7" s="1"/>
  <c r="A931" i="7" s="1"/>
  <c r="A932" i="7" s="1"/>
  <c r="A933" i="7" s="1"/>
  <c r="A934" i="7" s="1"/>
  <c r="A935" i="7" s="1"/>
  <c r="A936" i="7" s="1"/>
  <c r="F874" i="7" l="1"/>
  <c r="L882" i="7"/>
  <c r="D875" i="7"/>
  <c r="D877" i="7" s="1"/>
  <c r="L878" i="7" s="1"/>
  <c r="G874" i="7"/>
  <c r="H874" i="7"/>
  <c r="E875" i="7"/>
  <c r="E876" i="7" s="1"/>
  <c r="M875" i="7" s="1"/>
  <c r="G892" i="7"/>
  <c r="H892" i="7"/>
  <c r="F892" i="7"/>
  <c r="E893" i="7"/>
  <c r="F893" i="7" s="1"/>
  <c r="E902" i="7"/>
  <c r="M901" i="7" s="1"/>
  <c r="H901" i="7"/>
  <c r="I901" i="7" s="1"/>
  <c r="G901" i="7"/>
  <c r="J901" i="7" s="1"/>
  <c r="K377" i="7"/>
  <c r="M376" i="7"/>
  <c r="J923" i="7"/>
  <c r="J924" i="7" s="1"/>
  <c r="E911" i="7"/>
  <c r="F911" i="7" s="1"/>
  <c r="J912" i="7" s="1"/>
  <c r="D893" i="7"/>
  <c r="L892" i="7"/>
  <c r="L876" i="7"/>
  <c r="D885" i="7"/>
  <c r="L884" i="7"/>
  <c r="AG104" i="2"/>
  <c r="AG103" i="2"/>
  <c r="E867" i="7"/>
  <c r="H866" i="7"/>
  <c r="F866" i="7"/>
  <c r="G866" i="7"/>
  <c r="G848" i="7"/>
  <c r="H848" i="7"/>
  <c r="F848" i="7"/>
  <c r="F857" i="7"/>
  <c r="G857" i="7"/>
  <c r="E858" i="7"/>
  <c r="M857" i="7" s="1"/>
  <c r="H857" i="7"/>
  <c r="E885" i="7"/>
  <c r="F884" i="7"/>
  <c r="H884" i="7"/>
  <c r="G884" i="7"/>
  <c r="A937" i="7"/>
  <c r="A938" i="7" s="1"/>
  <c r="A939" i="7" s="1"/>
  <c r="A940" i="7" s="1"/>
  <c r="A941" i="7" s="1"/>
  <c r="A942" i="7" s="1"/>
  <c r="A943" i="7" s="1"/>
  <c r="A944" i="7" s="1"/>
  <c r="A945" i="7" s="1"/>
  <c r="A946" i="7" s="1"/>
  <c r="B935" i="7"/>
  <c r="H875" i="7" l="1"/>
  <c r="F875" i="7"/>
  <c r="G875" i="7"/>
  <c r="E894" i="7"/>
  <c r="M893" i="7" s="1"/>
  <c r="G893" i="7"/>
  <c r="H893" i="7"/>
  <c r="D901" i="7"/>
  <c r="D903" i="7" s="1"/>
  <c r="G902" i="7"/>
  <c r="E903" i="7"/>
  <c r="H903" i="7" s="1"/>
  <c r="F902" i="7"/>
  <c r="H902" i="7"/>
  <c r="K379" i="7"/>
  <c r="K383" i="7" s="1"/>
  <c r="M378" i="7"/>
  <c r="H911" i="7"/>
  <c r="I911" i="7" s="1"/>
  <c r="G911" i="7"/>
  <c r="J911" i="7" s="1"/>
  <c r="E912" i="7"/>
  <c r="M911" i="7" s="1"/>
  <c r="E921" i="7"/>
  <c r="E922" i="7" s="1"/>
  <c r="M921" i="7" s="1"/>
  <c r="J933" i="7"/>
  <c r="J934" i="7" s="1"/>
  <c r="D887" i="7"/>
  <c r="L888" i="7" s="1"/>
  <c r="L886" i="7"/>
  <c r="D895" i="7"/>
  <c r="L894" i="7"/>
  <c r="AG5" i="2"/>
  <c r="AA4" i="2" s="1"/>
  <c r="F867" i="7"/>
  <c r="E868" i="7"/>
  <c r="M867" i="7" s="1"/>
  <c r="H867" i="7"/>
  <c r="G867" i="7"/>
  <c r="H885" i="7"/>
  <c r="G885" i="7"/>
  <c r="F885" i="7"/>
  <c r="E886" i="7"/>
  <c r="M885" i="7" s="1"/>
  <c r="E877" i="7"/>
  <c r="G876" i="7"/>
  <c r="F876" i="7"/>
  <c r="H876" i="7"/>
  <c r="H858" i="7"/>
  <c r="G858" i="7"/>
  <c r="F858" i="7"/>
  <c r="B945" i="7"/>
  <c r="A947" i="7"/>
  <c r="A948" i="7" s="1"/>
  <c r="A949" i="7" s="1"/>
  <c r="A950" i="7" s="1"/>
  <c r="A951" i="7" s="1"/>
  <c r="A952" i="7" s="1"/>
  <c r="A953" i="7" s="1"/>
  <c r="A954" i="7" s="1"/>
  <c r="A955" i="7" s="1"/>
  <c r="A956" i="7" s="1"/>
  <c r="H894" i="7" l="1"/>
  <c r="E895" i="7"/>
  <c r="G895" i="7" s="1"/>
  <c r="F894" i="7"/>
  <c r="G894" i="7"/>
  <c r="L902" i="7"/>
  <c r="E904" i="7"/>
  <c r="M903" i="7" s="1"/>
  <c r="F903" i="7"/>
  <c r="G903" i="7"/>
  <c r="D911" i="7"/>
  <c r="L912" i="7" s="1"/>
  <c r="G912" i="7"/>
  <c r="H912" i="7"/>
  <c r="E913" i="7"/>
  <c r="H913" i="7" s="1"/>
  <c r="K385" i="7"/>
  <c r="M384" i="7"/>
  <c r="F921" i="7"/>
  <c r="J922" i="7" s="1"/>
  <c r="G921" i="7"/>
  <c r="J921" i="7" s="1"/>
  <c r="H921" i="7"/>
  <c r="I921" i="7" s="1"/>
  <c r="J943" i="7"/>
  <c r="J944" i="7" s="1"/>
  <c r="F912" i="7"/>
  <c r="E931" i="7"/>
  <c r="H931" i="7" s="1"/>
  <c r="I931" i="7" s="1"/>
  <c r="D897" i="7"/>
  <c r="L898" i="7" s="1"/>
  <c r="L896" i="7"/>
  <c r="D905" i="7"/>
  <c r="L904" i="7"/>
  <c r="F877" i="7"/>
  <c r="G877" i="7"/>
  <c r="E878" i="7"/>
  <c r="M877" i="7" s="1"/>
  <c r="H877" i="7"/>
  <c r="G922" i="7"/>
  <c r="F922" i="7"/>
  <c r="H922" i="7"/>
  <c r="E923" i="7"/>
  <c r="F868" i="7"/>
  <c r="G868" i="7"/>
  <c r="H868" i="7"/>
  <c r="G886" i="7"/>
  <c r="E887" i="7"/>
  <c r="F886" i="7"/>
  <c r="H886" i="7"/>
  <c r="B955" i="7"/>
  <c r="A957" i="7"/>
  <c r="A958" i="7" s="1"/>
  <c r="A959" i="7" s="1"/>
  <c r="A960" i="7" s="1"/>
  <c r="A961" i="7" s="1"/>
  <c r="A962" i="7" s="1"/>
  <c r="A963" i="7" s="1"/>
  <c r="A964" i="7" s="1"/>
  <c r="A965" i="7" s="1"/>
  <c r="A966" i="7" s="1"/>
  <c r="E896" i="7" l="1"/>
  <c r="M895" i="7" s="1"/>
  <c r="H895" i="7"/>
  <c r="H904" i="7"/>
  <c r="F895" i="7"/>
  <c r="E905" i="7"/>
  <c r="G905" i="7" s="1"/>
  <c r="G904" i="7"/>
  <c r="F904" i="7"/>
  <c r="D913" i="7"/>
  <c r="D915" i="7" s="1"/>
  <c r="G913" i="7"/>
  <c r="E914" i="7"/>
  <c r="M913" i="7" s="1"/>
  <c r="D921" i="7"/>
  <c r="L922" i="7" s="1"/>
  <c r="F913" i="7"/>
  <c r="K387" i="7"/>
  <c r="M386" i="7"/>
  <c r="J953" i="7"/>
  <c r="J954" i="7" s="1"/>
  <c r="F931" i="7"/>
  <c r="J932" i="7" s="1"/>
  <c r="E932" i="7"/>
  <c r="M931" i="7" s="1"/>
  <c r="G931" i="7"/>
  <c r="J931" i="7" s="1"/>
  <c r="D931" i="7" s="1"/>
  <c r="E941" i="7"/>
  <c r="H941" i="7" s="1"/>
  <c r="I941" i="7" s="1"/>
  <c r="D907" i="7"/>
  <c r="L908" i="7" s="1"/>
  <c r="L906" i="7"/>
  <c r="G887" i="7"/>
  <c r="F887" i="7"/>
  <c r="E888" i="7"/>
  <c r="M887" i="7" s="1"/>
  <c r="H887" i="7"/>
  <c r="G896" i="7"/>
  <c r="H896" i="7"/>
  <c r="F896" i="7"/>
  <c r="E897" i="7"/>
  <c r="F878" i="7"/>
  <c r="G878" i="7"/>
  <c r="H878" i="7"/>
  <c r="H923" i="7"/>
  <c r="G923" i="7"/>
  <c r="F923" i="7"/>
  <c r="E924" i="7"/>
  <c r="M923" i="7" s="1"/>
  <c r="A967" i="7"/>
  <c r="A968" i="7" s="1"/>
  <c r="A969" i="7" s="1"/>
  <c r="A970" i="7" s="1"/>
  <c r="A971" i="7" s="1"/>
  <c r="A972" i="7" s="1"/>
  <c r="A973" i="7" s="1"/>
  <c r="A974" i="7" s="1"/>
  <c r="A975" i="7" s="1"/>
  <c r="A976" i="7" s="1"/>
  <c r="B965" i="7"/>
  <c r="E906" i="7" l="1"/>
  <c r="M905" i="7" s="1"/>
  <c r="H905" i="7"/>
  <c r="F905" i="7"/>
  <c r="L914" i="7"/>
  <c r="D923" i="7"/>
  <c r="L924" i="7" s="1"/>
  <c r="E915" i="7"/>
  <c r="H915" i="7" s="1"/>
  <c r="H914" i="7"/>
  <c r="F914" i="7"/>
  <c r="G914" i="7"/>
  <c r="E951" i="7"/>
  <c r="E952" i="7" s="1"/>
  <c r="M951" i="7" s="1"/>
  <c r="G941" i="7"/>
  <c r="J941" i="7" s="1"/>
  <c r="D941" i="7" s="1"/>
  <c r="F941" i="7"/>
  <c r="J942" i="7" s="1"/>
  <c r="E942" i="7"/>
  <c r="M941" i="7" s="1"/>
  <c r="K389" i="7"/>
  <c r="K393" i="7" s="1"/>
  <c r="M388" i="7"/>
  <c r="G932" i="7"/>
  <c r="F932" i="7"/>
  <c r="H932" i="7"/>
  <c r="J963" i="7"/>
  <c r="J964" i="7" s="1"/>
  <c r="E933" i="7"/>
  <c r="E934" i="7" s="1"/>
  <c r="M933" i="7" s="1"/>
  <c r="D917" i="7"/>
  <c r="L918" i="7" s="1"/>
  <c r="L916" i="7"/>
  <c r="D933" i="7"/>
  <c r="L932" i="7"/>
  <c r="H897" i="7"/>
  <c r="F897" i="7"/>
  <c r="E898" i="7"/>
  <c r="M897" i="7" s="1"/>
  <c r="G897" i="7"/>
  <c r="H888" i="7"/>
  <c r="F888" i="7"/>
  <c r="G888" i="7"/>
  <c r="F906" i="7"/>
  <c r="E907" i="7"/>
  <c r="H906" i="7"/>
  <c r="G906" i="7"/>
  <c r="F924" i="7"/>
  <c r="G924" i="7"/>
  <c r="H924" i="7"/>
  <c r="E925" i="7"/>
  <c r="A977" i="7"/>
  <c r="A978" i="7" s="1"/>
  <c r="A979" i="7" s="1"/>
  <c r="A980" i="7" s="1"/>
  <c r="A981" i="7" s="1"/>
  <c r="A982" i="7" s="1"/>
  <c r="A983" i="7" s="1"/>
  <c r="A984" i="7" s="1"/>
  <c r="A985" i="7" s="1"/>
  <c r="A986" i="7" s="1"/>
  <c r="B975" i="7"/>
  <c r="D925" i="7" l="1"/>
  <c r="D927" i="7" s="1"/>
  <c r="L928" i="7" s="1"/>
  <c r="F915" i="7"/>
  <c r="G915" i="7"/>
  <c r="E916" i="7"/>
  <c r="M915" i="7" s="1"/>
  <c r="F951" i="7"/>
  <c r="J952" i="7" s="1"/>
  <c r="G951" i="7"/>
  <c r="J951" i="7" s="1"/>
  <c r="H951" i="7"/>
  <c r="I951" i="7" s="1"/>
  <c r="F933" i="7"/>
  <c r="E943" i="7"/>
  <c r="H943" i="7" s="1"/>
  <c r="F942" i="7"/>
  <c r="G942" i="7"/>
  <c r="K395" i="7"/>
  <c r="M394" i="7"/>
  <c r="H942" i="7"/>
  <c r="E961" i="7"/>
  <c r="H961" i="7" s="1"/>
  <c r="I961" i="7" s="1"/>
  <c r="H933" i="7"/>
  <c r="G933" i="7"/>
  <c r="J973" i="7"/>
  <c r="J974" i="7" s="1"/>
  <c r="D943" i="7"/>
  <c r="L942" i="7"/>
  <c r="D935" i="7"/>
  <c r="L934" i="7"/>
  <c r="L926" i="7"/>
  <c r="F898" i="7"/>
  <c r="G898" i="7"/>
  <c r="H898" i="7"/>
  <c r="H952" i="7"/>
  <c r="G952" i="7"/>
  <c r="F952" i="7"/>
  <c r="E953" i="7"/>
  <c r="F907" i="7"/>
  <c r="H907" i="7"/>
  <c r="E908" i="7"/>
  <c r="M907" i="7" s="1"/>
  <c r="G907" i="7"/>
  <c r="E926" i="7"/>
  <c r="M925" i="7" s="1"/>
  <c r="H925" i="7"/>
  <c r="G925" i="7"/>
  <c r="F925" i="7"/>
  <c r="E935" i="7"/>
  <c r="G934" i="7"/>
  <c r="H934" i="7"/>
  <c r="F934" i="7"/>
  <c r="A987" i="7"/>
  <c r="A988" i="7" s="1"/>
  <c r="A989" i="7" s="1"/>
  <c r="A990" i="7" s="1"/>
  <c r="A991" i="7" s="1"/>
  <c r="A992" i="7" s="1"/>
  <c r="A993" i="7" s="1"/>
  <c r="A994" i="7" s="1"/>
  <c r="A995" i="7" s="1"/>
  <c r="A996" i="7" s="1"/>
  <c r="B985" i="7"/>
  <c r="H916" i="7" l="1"/>
  <c r="G916" i="7"/>
  <c r="F916" i="7"/>
  <c r="D951" i="7"/>
  <c r="L952" i="7" s="1"/>
  <c r="E917" i="7"/>
  <c r="G917" i="7" s="1"/>
  <c r="F943" i="7"/>
  <c r="E944" i="7"/>
  <c r="M943" i="7" s="1"/>
  <c r="G943" i="7"/>
  <c r="E962" i="7"/>
  <c r="M961" i="7" s="1"/>
  <c r="F961" i="7"/>
  <c r="J962" i="7" s="1"/>
  <c r="G961" i="7"/>
  <c r="J961" i="7" s="1"/>
  <c r="D961" i="7" s="1"/>
  <c r="K397" i="7"/>
  <c r="M396" i="7"/>
  <c r="J983" i="7"/>
  <c r="J984" i="7" s="1"/>
  <c r="E971" i="7"/>
  <c r="H971" i="7" s="1"/>
  <c r="I971" i="7" s="1"/>
  <c r="D937" i="7"/>
  <c r="L938" i="7" s="1"/>
  <c r="L936" i="7"/>
  <c r="D945" i="7"/>
  <c r="L944" i="7"/>
  <c r="H908" i="7"/>
  <c r="G908" i="7"/>
  <c r="F908" i="7"/>
  <c r="H926" i="7"/>
  <c r="G926" i="7"/>
  <c r="E927" i="7"/>
  <c r="F926" i="7"/>
  <c r="G935" i="7"/>
  <c r="E936" i="7"/>
  <c r="M935" i="7" s="1"/>
  <c r="H935" i="7"/>
  <c r="F935" i="7"/>
  <c r="H953" i="7"/>
  <c r="E954" i="7"/>
  <c r="M953" i="7" s="1"/>
  <c r="G953" i="7"/>
  <c r="F953" i="7"/>
  <c r="A997" i="7"/>
  <c r="A998" i="7" s="1"/>
  <c r="B995" i="7"/>
  <c r="H917" i="7" l="1"/>
  <c r="F917" i="7"/>
  <c r="D953" i="7"/>
  <c r="L954" i="7" s="1"/>
  <c r="E918" i="7"/>
  <c r="M917" i="7" s="1"/>
  <c r="E963" i="7"/>
  <c r="F963" i="7" s="1"/>
  <c r="F944" i="7"/>
  <c r="E945" i="7"/>
  <c r="H945" i="7" s="1"/>
  <c r="G944" i="7"/>
  <c r="H944" i="7"/>
  <c r="F962" i="7"/>
  <c r="H962" i="7"/>
  <c r="G962" i="7"/>
  <c r="E972" i="7"/>
  <c r="M971" i="7" s="1"/>
  <c r="F971" i="7"/>
  <c r="J972" i="7" s="1"/>
  <c r="E981" i="7"/>
  <c r="E982" i="7" s="1"/>
  <c r="M981" i="7" s="1"/>
  <c r="K399" i="7"/>
  <c r="K403" i="7" s="1"/>
  <c r="M398" i="7"/>
  <c r="G971" i="7"/>
  <c r="J971" i="7" s="1"/>
  <c r="D971" i="7" s="1"/>
  <c r="L972" i="7" s="1"/>
  <c r="J993" i="7"/>
  <c r="J994" i="7" s="1"/>
  <c r="D963" i="7"/>
  <c r="L962" i="7"/>
  <c r="D947" i="7"/>
  <c r="L948" i="7" s="1"/>
  <c r="L946" i="7"/>
  <c r="H954" i="7"/>
  <c r="G954" i="7"/>
  <c r="F954" i="7"/>
  <c r="E955" i="7"/>
  <c r="G936" i="7"/>
  <c r="F936" i="7"/>
  <c r="E937" i="7"/>
  <c r="H936" i="7"/>
  <c r="E928" i="7"/>
  <c r="M927" i="7" s="1"/>
  <c r="H927" i="7"/>
  <c r="G927" i="7"/>
  <c r="F927" i="7"/>
  <c r="D955" i="7" l="1"/>
  <c r="D957" i="7" s="1"/>
  <c r="L958" i="7" s="1"/>
  <c r="G918" i="7"/>
  <c r="E964" i="7"/>
  <c r="M963" i="7" s="1"/>
  <c r="H918" i="7"/>
  <c r="F918" i="7"/>
  <c r="H963" i="7"/>
  <c r="G963" i="7"/>
  <c r="E946" i="7"/>
  <c r="M945" i="7" s="1"/>
  <c r="F945" i="7"/>
  <c r="G945" i="7"/>
  <c r="G981" i="7"/>
  <c r="J981" i="7" s="1"/>
  <c r="G972" i="7"/>
  <c r="F972" i="7"/>
  <c r="H972" i="7"/>
  <c r="E973" i="7"/>
  <c r="G973" i="7" s="1"/>
  <c r="F981" i="7"/>
  <c r="J982" i="7" s="1"/>
  <c r="H981" i="7"/>
  <c r="I981" i="7" s="1"/>
  <c r="K405" i="7"/>
  <c r="M404" i="7"/>
  <c r="E991" i="7"/>
  <c r="H991" i="7" s="1"/>
  <c r="I991" i="7" s="1"/>
  <c r="D973" i="7"/>
  <c r="L956" i="7"/>
  <c r="D965" i="7"/>
  <c r="L964" i="7"/>
  <c r="F928" i="7"/>
  <c r="H928" i="7"/>
  <c r="G928" i="7"/>
  <c r="H982" i="7"/>
  <c r="E983" i="7"/>
  <c r="G982" i="7"/>
  <c r="F982" i="7"/>
  <c r="E956" i="7"/>
  <c r="M955" i="7" s="1"/>
  <c r="G955" i="7"/>
  <c r="H955" i="7"/>
  <c r="F955" i="7"/>
  <c r="G937" i="7"/>
  <c r="F937" i="7"/>
  <c r="E938" i="7"/>
  <c r="M937" i="7" s="1"/>
  <c r="H937" i="7"/>
  <c r="H964" i="7" l="1"/>
  <c r="G964" i="7"/>
  <c r="E965" i="7"/>
  <c r="F965" i="7" s="1"/>
  <c r="F964" i="7"/>
  <c r="F946" i="7"/>
  <c r="E947" i="7"/>
  <c r="G947" i="7" s="1"/>
  <c r="G946" i="7"/>
  <c r="H946" i="7"/>
  <c r="D981" i="7"/>
  <c r="L982" i="7" s="1"/>
  <c r="E974" i="7"/>
  <c r="M973" i="7" s="1"/>
  <c r="H973" i="7"/>
  <c r="F973" i="7"/>
  <c r="G991" i="7"/>
  <c r="J991" i="7" s="1"/>
  <c r="D991" i="7" s="1"/>
  <c r="L992" i="7" s="1"/>
  <c r="F991" i="7"/>
  <c r="J992" i="7" s="1"/>
  <c r="E992" i="7"/>
  <c r="M991" i="7" s="1"/>
  <c r="K407" i="7"/>
  <c r="M406" i="7"/>
  <c r="D967" i="7"/>
  <c r="L968" i="7" s="1"/>
  <c r="L966" i="7"/>
  <c r="D975" i="7"/>
  <c r="L974" i="7"/>
  <c r="E957" i="7"/>
  <c r="G956" i="7"/>
  <c r="H956" i="7"/>
  <c r="F956" i="7"/>
  <c r="E984" i="7"/>
  <c r="M983" i="7" s="1"/>
  <c r="H983" i="7"/>
  <c r="G983" i="7"/>
  <c r="F983" i="7"/>
  <c r="H938" i="7"/>
  <c r="F938" i="7"/>
  <c r="G938" i="7"/>
  <c r="E966" i="7" l="1"/>
  <c r="M965" i="7" s="1"/>
  <c r="H965" i="7"/>
  <c r="G965" i="7"/>
  <c r="H947" i="7"/>
  <c r="F947" i="7"/>
  <c r="E948" i="7"/>
  <c r="M947" i="7" s="1"/>
  <c r="F974" i="7"/>
  <c r="E975" i="7"/>
  <c r="G975" i="7" s="1"/>
  <c r="H974" i="7"/>
  <c r="D983" i="7"/>
  <c r="L984" i="7" s="1"/>
  <c r="G974" i="7"/>
  <c r="F992" i="7"/>
  <c r="G992" i="7"/>
  <c r="H992" i="7"/>
  <c r="E993" i="7"/>
  <c r="H993" i="7" s="1"/>
  <c r="K409" i="7"/>
  <c r="K413" i="7" s="1"/>
  <c r="M408" i="7"/>
  <c r="D993" i="7"/>
  <c r="L994" i="7" s="1"/>
  <c r="D977" i="7"/>
  <c r="L978" i="7" s="1"/>
  <c r="L976" i="7"/>
  <c r="E958" i="7"/>
  <c r="M957" i="7" s="1"/>
  <c r="H957" i="7"/>
  <c r="G957" i="7"/>
  <c r="F957" i="7"/>
  <c r="H966" i="7"/>
  <c r="E985" i="7"/>
  <c r="G984" i="7"/>
  <c r="F984" i="7"/>
  <c r="H984" i="7"/>
  <c r="E967" i="7" l="1"/>
  <c r="H967" i="7" s="1"/>
  <c r="F966" i="7"/>
  <c r="G966" i="7"/>
  <c r="H975" i="7"/>
  <c r="F948" i="7"/>
  <c r="H948" i="7"/>
  <c r="E976" i="7"/>
  <c r="M975" i="7" s="1"/>
  <c r="G948" i="7"/>
  <c r="D985" i="7"/>
  <c r="L986" i="7" s="1"/>
  <c r="F975" i="7"/>
  <c r="E994" i="7"/>
  <c r="M993" i="7" s="1"/>
  <c r="F993" i="7"/>
  <c r="G993" i="7"/>
  <c r="K415" i="7"/>
  <c r="M414" i="7"/>
  <c r="D995" i="7"/>
  <c r="L996" i="7" s="1"/>
  <c r="G958" i="7"/>
  <c r="F958" i="7"/>
  <c r="H958" i="7"/>
  <c r="E986" i="7"/>
  <c r="M985" i="7" s="1"/>
  <c r="F985" i="7"/>
  <c r="H985" i="7"/>
  <c r="G985" i="7"/>
  <c r="E968" i="7" l="1"/>
  <c r="M967" i="7" s="1"/>
  <c r="F967" i="7"/>
  <c r="G967" i="7"/>
  <c r="E977" i="7"/>
  <c r="H977" i="7" s="1"/>
  <c r="F976" i="7"/>
  <c r="G976" i="7"/>
  <c r="H976" i="7"/>
  <c r="G994" i="7"/>
  <c r="H994" i="7"/>
  <c r="D987" i="7"/>
  <c r="L988" i="7" s="1"/>
  <c r="E995" i="7"/>
  <c r="F995" i="7" s="1"/>
  <c r="F994" i="7"/>
  <c r="K417" i="7"/>
  <c r="K419" i="7" s="1"/>
  <c r="K423" i="7" s="1"/>
  <c r="M416" i="7"/>
  <c r="D997" i="7"/>
  <c r="L998" i="7" s="1"/>
  <c r="F986" i="7"/>
  <c r="E987" i="7"/>
  <c r="G986" i="7"/>
  <c r="H986" i="7"/>
  <c r="F968" i="7"/>
  <c r="H968" i="7"/>
  <c r="G968" i="7"/>
  <c r="G977" i="7" l="1"/>
  <c r="E978" i="7"/>
  <c r="M977" i="7" s="1"/>
  <c r="F977" i="7"/>
  <c r="G995" i="7"/>
  <c r="E996" i="7"/>
  <c r="M995" i="7" s="1"/>
  <c r="H995" i="7"/>
  <c r="K425" i="7"/>
  <c r="M424" i="7"/>
  <c r="F987" i="7"/>
  <c r="G987" i="7"/>
  <c r="E988" i="7"/>
  <c r="M987" i="7" s="1"/>
  <c r="H987" i="7"/>
  <c r="H978" i="7" l="1"/>
  <c r="G978" i="7"/>
  <c r="F978" i="7"/>
  <c r="F996" i="7"/>
  <c r="G996" i="7"/>
  <c r="H996" i="7"/>
  <c r="E997" i="7"/>
  <c r="F997" i="7" s="1"/>
  <c r="K427" i="7"/>
  <c r="M426" i="7"/>
  <c r="H988" i="7"/>
  <c r="G988" i="7"/>
  <c r="F988" i="7"/>
  <c r="E998" i="7" l="1"/>
  <c r="M997" i="7" s="1"/>
  <c r="H997" i="7"/>
  <c r="G997" i="7"/>
  <c r="K429" i="7"/>
  <c r="K433" i="7" s="1"/>
  <c r="M428" i="7"/>
  <c r="F998" i="7" l="1"/>
  <c r="H998" i="7"/>
  <c r="G998" i="7"/>
  <c r="K435" i="7"/>
  <c r="M434" i="7"/>
  <c r="K437" i="7" l="1"/>
  <c r="M436" i="7"/>
  <c r="K439" i="7" l="1"/>
  <c r="K443" i="7" s="1"/>
  <c r="M438" i="7"/>
  <c r="I18" i="7"/>
  <c r="I16" i="7"/>
  <c r="I17" i="7"/>
  <c r="I15" i="7"/>
  <c r="K445" i="7" l="1"/>
  <c r="M444" i="7"/>
  <c r="I14" i="7"/>
  <c r="J13" i="7" s="1"/>
  <c r="J14" i="7" s="1"/>
  <c r="K447" i="7" l="1"/>
  <c r="M446" i="7"/>
  <c r="E11" i="7"/>
  <c r="G11" i="7" s="1"/>
  <c r="J11" i="7" s="1"/>
  <c r="F11" i="7" l="1"/>
  <c r="J12" i="7" s="1"/>
  <c r="K449" i="7"/>
  <c r="K453" i="7" s="1"/>
  <c r="M448" i="7"/>
  <c r="E12" i="7"/>
  <c r="M11" i="7" s="1"/>
  <c r="H11" i="7"/>
  <c r="I11" i="7" s="1"/>
  <c r="D11" i="7" s="1"/>
  <c r="L12" i="7" s="1"/>
  <c r="F12" i="7" l="1"/>
  <c r="G12" i="7"/>
  <c r="H12" i="7"/>
  <c r="E13" i="7"/>
  <c r="G13" i="7" s="1"/>
  <c r="K455" i="7"/>
  <c r="M454" i="7"/>
  <c r="D13" i="7"/>
  <c r="D15" i="7" s="1"/>
  <c r="L14" i="7"/>
  <c r="F13" i="7" l="1"/>
  <c r="E14" i="7"/>
  <c r="M13" i="7" s="1"/>
  <c r="H13" i="7"/>
  <c r="K457" i="7"/>
  <c r="M456" i="7"/>
  <c r="D17" i="7"/>
  <c r="L18" i="7" s="1"/>
  <c r="L16" i="7"/>
  <c r="G14" i="7" l="1"/>
  <c r="F14" i="7"/>
  <c r="E15" i="7"/>
  <c r="E16" i="7" s="1"/>
  <c r="M15" i="7" s="1"/>
  <c r="H14" i="7"/>
  <c r="K459" i="7"/>
  <c r="K463" i="7" s="1"/>
  <c r="M458" i="7"/>
  <c r="F15" i="7" l="1"/>
  <c r="H15" i="7"/>
  <c r="G15" i="7"/>
  <c r="K465" i="7"/>
  <c r="M464" i="7"/>
  <c r="H16" i="7"/>
  <c r="E17" i="7"/>
  <c r="G16" i="7"/>
  <c r="F16" i="7"/>
  <c r="K467" i="7" l="1"/>
  <c r="M466" i="7"/>
  <c r="H17" i="7"/>
  <c r="E18" i="7"/>
  <c r="M17" i="7" s="1"/>
  <c r="G17" i="7"/>
  <c r="F17" i="7"/>
  <c r="K469" i="7" l="1"/>
  <c r="K473" i="7" s="1"/>
  <c r="M468" i="7"/>
  <c r="F18" i="7"/>
  <c r="H18" i="7"/>
  <c r="G18" i="7"/>
  <c r="K475" i="7" l="1"/>
  <c r="M474" i="7"/>
  <c r="K477" i="7" l="1"/>
  <c r="M476" i="7"/>
  <c r="K479" i="7" l="1"/>
  <c r="K483" i="7" s="1"/>
  <c r="M478" i="7"/>
  <c r="K485" i="7" l="1"/>
  <c r="M484" i="7"/>
  <c r="K487" i="7" l="1"/>
  <c r="M486" i="7"/>
  <c r="K489" i="7" l="1"/>
  <c r="K493" i="7" s="1"/>
  <c r="M488" i="7"/>
  <c r="K495" i="7" l="1"/>
  <c r="M494" i="7"/>
  <c r="K497" i="7" l="1"/>
  <c r="M496" i="7"/>
  <c r="M498" i="7" l="1"/>
  <c r="K499" i="7"/>
  <c r="K503" i="7" s="1"/>
  <c r="K505" i="7" l="1"/>
  <c r="M504" i="7"/>
  <c r="K507" i="7" l="1"/>
  <c r="M506" i="7"/>
  <c r="K509" i="7" l="1"/>
  <c r="K513" i="7" s="1"/>
  <c r="M508" i="7"/>
  <c r="K515" i="7" l="1"/>
  <c r="M514" i="7"/>
  <c r="K517" i="7" l="1"/>
  <c r="M516" i="7"/>
  <c r="K519" i="7" l="1"/>
  <c r="K523" i="7" s="1"/>
  <c r="M518" i="7"/>
  <c r="K525" i="7" l="1"/>
  <c r="M524" i="7"/>
  <c r="K527" i="7" l="1"/>
  <c r="M526" i="7"/>
  <c r="K529" i="7" l="1"/>
  <c r="K533" i="7" s="1"/>
  <c r="M528" i="7"/>
  <c r="K535" i="7" l="1"/>
  <c r="M534" i="7"/>
  <c r="K537" i="7" l="1"/>
  <c r="M536" i="7"/>
  <c r="K539" i="7" l="1"/>
  <c r="K543" i="7" s="1"/>
  <c r="M538" i="7"/>
  <c r="K545" i="7" l="1"/>
  <c r="M544" i="7"/>
  <c r="K547" i="7" l="1"/>
  <c r="M546" i="7"/>
  <c r="K549" i="7" l="1"/>
  <c r="K553" i="7" s="1"/>
  <c r="M548" i="7"/>
  <c r="K555" i="7" l="1"/>
  <c r="M554" i="7"/>
  <c r="K557" i="7" l="1"/>
  <c r="M556" i="7"/>
  <c r="K559" i="7" l="1"/>
  <c r="K563" i="7" s="1"/>
  <c r="M558" i="7"/>
  <c r="K565" i="7" l="1"/>
  <c r="M564" i="7"/>
  <c r="K567" i="7" l="1"/>
  <c r="M566" i="7"/>
  <c r="K569" i="7" l="1"/>
  <c r="K573" i="7" s="1"/>
  <c r="M568" i="7"/>
  <c r="K575" i="7" l="1"/>
  <c r="M574" i="7"/>
  <c r="K577" i="7" l="1"/>
  <c r="M576" i="7"/>
  <c r="K579" i="7" l="1"/>
  <c r="K583" i="7" s="1"/>
  <c r="M578" i="7"/>
  <c r="K585" i="7" l="1"/>
  <c r="M584" i="7"/>
  <c r="K587" i="7" l="1"/>
  <c r="M586" i="7"/>
  <c r="K589" i="7" l="1"/>
  <c r="K593" i="7" s="1"/>
  <c r="M588" i="7"/>
  <c r="K595" i="7" l="1"/>
  <c r="M594" i="7"/>
  <c r="K597" i="7" l="1"/>
  <c r="M596" i="7"/>
  <c r="K599" i="7" l="1"/>
  <c r="K603" i="7" s="1"/>
  <c r="M598" i="7"/>
  <c r="K605" i="7" l="1"/>
  <c r="M604" i="7"/>
  <c r="K607" i="7" l="1"/>
  <c r="M606" i="7"/>
  <c r="K609" i="7" l="1"/>
  <c r="K613" i="7" s="1"/>
  <c r="M608" i="7"/>
  <c r="K615" i="7" l="1"/>
  <c r="M614" i="7"/>
  <c r="K617" i="7" l="1"/>
  <c r="M616" i="7"/>
  <c r="K619" i="7" l="1"/>
  <c r="K623" i="7" s="1"/>
  <c r="M618" i="7"/>
  <c r="K625" i="7" l="1"/>
  <c r="M624" i="7"/>
  <c r="K627" i="7" l="1"/>
  <c r="M626" i="7"/>
  <c r="K629" i="7" l="1"/>
  <c r="K633" i="7" s="1"/>
  <c r="M628" i="7"/>
  <c r="K635" i="7" l="1"/>
  <c r="M634" i="7"/>
  <c r="K637" i="7" l="1"/>
  <c r="M636" i="7"/>
  <c r="K639" i="7" l="1"/>
  <c r="K643" i="7" s="1"/>
  <c r="M638" i="7"/>
  <c r="K645" i="7" l="1"/>
  <c r="M644" i="7"/>
  <c r="K647" i="7" l="1"/>
  <c r="M646" i="7"/>
  <c r="K649" i="7" l="1"/>
  <c r="K653" i="7" s="1"/>
  <c r="M648" i="7"/>
  <c r="K655" i="7" l="1"/>
  <c r="M654" i="7"/>
  <c r="K657" i="7" l="1"/>
  <c r="M656" i="7"/>
  <c r="K659" i="7" l="1"/>
  <c r="K663" i="7" s="1"/>
  <c r="M658" i="7"/>
  <c r="K665" i="7" l="1"/>
  <c r="M664" i="7"/>
  <c r="K667" i="7" l="1"/>
  <c r="M666" i="7"/>
  <c r="K669" i="7" l="1"/>
  <c r="K673" i="7" s="1"/>
  <c r="M668" i="7"/>
  <c r="K675" i="7" l="1"/>
  <c r="M674" i="7"/>
  <c r="K677" i="7" l="1"/>
  <c r="M676" i="7"/>
  <c r="K679" i="7" l="1"/>
  <c r="K683" i="7" s="1"/>
  <c r="M678" i="7"/>
  <c r="K685" i="7" l="1"/>
  <c r="M684" i="7"/>
  <c r="K687" i="7" l="1"/>
  <c r="M686" i="7"/>
  <c r="K689" i="7" l="1"/>
  <c r="K693" i="7" s="1"/>
  <c r="M688" i="7"/>
  <c r="K695" i="7" l="1"/>
  <c r="M694" i="7"/>
  <c r="K697" i="7" l="1"/>
  <c r="M696" i="7"/>
  <c r="K699" i="7" l="1"/>
  <c r="K703" i="7" s="1"/>
  <c r="M698" i="7"/>
  <c r="K705" i="7" l="1"/>
  <c r="M704" i="7"/>
  <c r="K707" i="7" l="1"/>
  <c r="M706" i="7"/>
  <c r="K709" i="7" l="1"/>
  <c r="K713" i="7" s="1"/>
  <c r="M708" i="7"/>
  <c r="K715" i="7" l="1"/>
  <c r="M714" i="7"/>
  <c r="K717" i="7" l="1"/>
  <c r="M716" i="7"/>
  <c r="K719" i="7" l="1"/>
  <c r="K723" i="7" s="1"/>
  <c r="M718" i="7"/>
  <c r="K725" i="7" l="1"/>
  <c r="M724" i="7"/>
  <c r="K727" i="7" l="1"/>
  <c r="M726" i="7"/>
  <c r="K729" i="7" l="1"/>
  <c r="K733" i="7" s="1"/>
  <c r="M728" i="7"/>
  <c r="K735" i="7" l="1"/>
  <c r="M734" i="7"/>
  <c r="K737" i="7" l="1"/>
  <c r="M736" i="7"/>
  <c r="K739" i="7" l="1"/>
  <c r="K743" i="7" s="1"/>
  <c r="M738" i="7"/>
  <c r="K745" i="7" l="1"/>
  <c r="M744" i="7"/>
  <c r="K747" i="7" l="1"/>
  <c r="M746" i="7"/>
  <c r="K749" i="7" l="1"/>
  <c r="K753" i="7" s="1"/>
  <c r="M748" i="7"/>
  <c r="K755" i="7" l="1"/>
  <c r="M754" i="7"/>
  <c r="K757" i="7" l="1"/>
  <c r="M756" i="7"/>
  <c r="K759" i="7" l="1"/>
  <c r="K763" i="7" s="1"/>
  <c r="M758" i="7"/>
  <c r="K765" i="7" l="1"/>
  <c r="M764" i="7"/>
  <c r="K767" i="7" l="1"/>
  <c r="M766" i="7"/>
  <c r="K769" i="7" l="1"/>
  <c r="K773" i="7" s="1"/>
  <c r="M768" i="7"/>
  <c r="K775" i="7" l="1"/>
  <c r="M774" i="7"/>
  <c r="K777" i="7" l="1"/>
  <c r="M776" i="7"/>
  <c r="K779" i="7" l="1"/>
  <c r="K783" i="7" s="1"/>
  <c r="M778" i="7"/>
  <c r="K785" i="7" l="1"/>
  <c r="M784" i="7"/>
  <c r="K787" i="7" l="1"/>
  <c r="M786" i="7"/>
  <c r="K789" i="7" l="1"/>
  <c r="K793" i="7" s="1"/>
  <c r="M788" i="7"/>
  <c r="K795" i="7" l="1"/>
  <c r="M794" i="7"/>
  <c r="K797" i="7" l="1"/>
  <c r="M796" i="7"/>
  <c r="K799" i="7" l="1"/>
  <c r="K803" i="7" s="1"/>
  <c r="M798" i="7"/>
  <c r="K805" i="7" l="1"/>
  <c r="M804" i="7"/>
  <c r="K807" i="7" l="1"/>
  <c r="M806" i="7"/>
  <c r="K809" i="7" l="1"/>
  <c r="K813" i="7" s="1"/>
  <c r="M808" i="7"/>
  <c r="K815" i="7" l="1"/>
  <c r="M814" i="7"/>
  <c r="K817" i="7" l="1"/>
  <c r="M816" i="7"/>
  <c r="K819" i="7" l="1"/>
  <c r="K823" i="7" s="1"/>
  <c r="M818" i="7"/>
  <c r="K825" i="7" l="1"/>
  <c r="M824" i="7"/>
  <c r="K827" i="7" l="1"/>
  <c r="M826" i="7"/>
  <c r="K829" i="7" l="1"/>
  <c r="K833" i="7" s="1"/>
  <c r="M828" i="7"/>
  <c r="K835" i="7" l="1"/>
  <c r="M834" i="7"/>
  <c r="K837" i="7" l="1"/>
  <c r="M836" i="7"/>
  <c r="K839" i="7" l="1"/>
  <c r="K843" i="7" s="1"/>
  <c r="M838" i="7"/>
  <c r="K845" i="7" l="1"/>
  <c r="M844" i="7"/>
  <c r="K847" i="7" l="1"/>
  <c r="M846" i="7"/>
  <c r="K849" i="7" l="1"/>
  <c r="K853" i="7" s="1"/>
  <c r="M848" i="7"/>
  <c r="K855" i="7" l="1"/>
  <c r="M854" i="7"/>
  <c r="K857" i="7" l="1"/>
  <c r="M856" i="7"/>
  <c r="K859" i="7" l="1"/>
  <c r="K863" i="7" s="1"/>
  <c r="M858" i="7"/>
  <c r="K865" i="7" l="1"/>
  <c r="M864" i="7"/>
  <c r="K867" i="7" l="1"/>
  <c r="M866" i="7"/>
  <c r="K869" i="7" l="1"/>
  <c r="K873" i="7" s="1"/>
  <c r="M868" i="7"/>
  <c r="K875" i="7" l="1"/>
  <c r="M874" i="7"/>
  <c r="K877" i="7" l="1"/>
  <c r="M876" i="7"/>
  <c r="K879" i="7" l="1"/>
  <c r="K883" i="7" s="1"/>
  <c r="M878" i="7"/>
  <c r="K885" i="7" l="1"/>
  <c r="M884" i="7"/>
  <c r="K887" i="7" l="1"/>
  <c r="M886" i="7"/>
  <c r="K889" i="7" l="1"/>
  <c r="K893" i="7" s="1"/>
  <c r="M888" i="7"/>
  <c r="K895" i="7" l="1"/>
  <c r="M894" i="7"/>
  <c r="K897" i="7" l="1"/>
  <c r="M896" i="7"/>
  <c r="K899" i="7" l="1"/>
  <c r="K903" i="7" s="1"/>
  <c r="M898" i="7"/>
  <c r="K905" i="7" l="1"/>
  <c r="M904" i="7"/>
  <c r="K907" i="7" l="1"/>
  <c r="M906" i="7"/>
  <c r="K909" i="7" l="1"/>
  <c r="K913" i="7" s="1"/>
  <c r="M908" i="7"/>
  <c r="K915" i="7" l="1"/>
  <c r="M914" i="7"/>
  <c r="K917" i="7" l="1"/>
  <c r="M916" i="7"/>
  <c r="K919" i="7" l="1"/>
  <c r="K923" i="7" s="1"/>
  <c r="M918" i="7"/>
  <c r="K925" i="7" l="1"/>
  <c r="M924" i="7"/>
  <c r="K927" i="7" l="1"/>
  <c r="M926" i="7"/>
  <c r="K929" i="7" l="1"/>
  <c r="K933" i="7" s="1"/>
  <c r="M928" i="7"/>
  <c r="K935" i="7" l="1"/>
  <c r="M934" i="7"/>
  <c r="K937" i="7" l="1"/>
  <c r="M936" i="7"/>
  <c r="K939" i="7" l="1"/>
  <c r="K943" i="7" s="1"/>
  <c r="M938" i="7"/>
  <c r="K945" i="7" l="1"/>
  <c r="M944" i="7"/>
  <c r="K947" i="7" l="1"/>
  <c r="M946" i="7"/>
  <c r="K949" i="7" l="1"/>
  <c r="K953" i="7" s="1"/>
  <c r="M948" i="7"/>
  <c r="K955" i="7" l="1"/>
  <c r="M954" i="7"/>
  <c r="K957" i="7" l="1"/>
  <c r="M956" i="7"/>
  <c r="K959" i="7" l="1"/>
  <c r="K963" i="7" s="1"/>
  <c r="M958" i="7"/>
  <c r="K965" i="7" l="1"/>
  <c r="M964" i="7"/>
  <c r="K967" i="7" l="1"/>
  <c r="M966" i="7"/>
  <c r="K969" i="7" l="1"/>
  <c r="K973" i="7" s="1"/>
  <c r="M968" i="7"/>
  <c r="K975" i="7" l="1"/>
  <c r="M974" i="7"/>
  <c r="K977" i="7" l="1"/>
  <c r="M976" i="7"/>
  <c r="K979" i="7" l="1"/>
  <c r="K983" i="7" s="1"/>
  <c r="M978" i="7"/>
  <c r="K985" i="7" l="1"/>
  <c r="M984" i="7"/>
  <c r="K987" i="7" l="1"/>
  <c r="M986" i="7"/>
  <c r="K989" i="7" l="1"/>
  <c r="K993" i="7" s="1"/>
  <c r="M988" i="7"/>
  <c r="K995" i="7" l="1"/>
  <c r="M994" i="7"/>
  <c r="K997" i="7" l="1"/>
  <c r="M998" i="7" s="1"/>
  <c r="M996" i="7"/>
  <c r="P4" i="3"/>
  <c r="C12" i="3" s="1"/>
  <c r="G14" i="3" l="1"/>
  <c r="V5" i="3"/>
  <c r="T5" i="3" s="1"/>
  <c r="T7" i="3"/>
  <c r="G13" i="3"/>
  <c r="G15" i="3"/>
  <c r="A22" i="3"/>
  <c r="S6" i="3" l="1"/>
  <c r="R6" i="3"/>
  <c r="Q6" i="3"/>
  <c r="Q5" i="3"/>
  <c r="Q2" i="3" s="1"/>
  <c r="R2" i="3" s="1"/>
  <c r="R5" i="3"/>
  <c r="S5" i="3"/>
  <c r="O12" i="3"/>
  <c r="M14" i="3" s="1"/>
  <c r="M16" i="3" s="1"/>
  <c r="M18" i="3" s="1"/>
  <c r="R13" i="3" l="1"/>
  <c r="R10" i="3" s="1"/>
  <c r="S13" i="3"/>
  <c r="L13" i="3" s="1"/>
  <c r="J13" i="3"/>
  <c r="J18" i="3" s="1"/>
  <c r="S10" i="3" l="1"/>
  <c r="H13" i="3" s="1"/>
  <c r="H17" i="3" s="1"/>
  <c r="J14" i="3"/>
  <c r="J15" i="3" s="1"/>
  <c r="R15" i="3" s="1"/>
  <c r="J16" i="3"/>
  <c r="J17" i="3" s="1"/>
  <c r="Q17" i="3" s="1"/>
  <c r="P13" i="3"/>
  <c r="H15" i="3" l="1"/>
  <c r="S15" i="3"/>
  <c r="Q15" i="3"/>
  <c r="Q14" i="3"/>
  <c r="R14" i="3"/>
  <c r="S14" i="3"/>
  <c r="L14" i="3" s="1"/>
  <c r="P14" i="3" s="1"/>
  <c r="S17" i="3"/>
  <c r="R17" i="3"/>
  <c r="S16" i="3"/>
  <c r="L16" i="3" s="1"/>
  <c r="P16" i="3" s="1"/>
  <c r="Q16" i="3"/>
  <c r="R16" i="3"/>
  <c r="R18" i="3" l="1"/>
  <c r="Q18" i="3"/>
  <c r="S18" i="3"/>
  <c r="L18" i="3" l="1"/>
  <c r="C3" i="3"/>
  <c r="P18" i="3" l="1"/>
  <c r="L19" i="3"/>
  <c r="I10" i="3" l="1"/>
  <c r="P19" i="3"/>
  <c r="A19" i="3" s="1"/>
  <c r="E6" i="7"/>
  <c r="B10" i="8" s="1"/>
  <c r="F8"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<sst xmlns="http://schemas.openxmlformats.org/spreadsheetml/2006/main" count="4128" uniqueCount="233">
  <si>
    <t>Einnahmenplanung</t>
  </si>
  <si>
    <t>Klienten</t>
  </si>
  <si>
    <t>Datum Vergütungsantrag</t>
  </si>
  <si>
    <t>Heutiges Datum:</t>
  </si>
  <si>
    <t>Tag</t>
  </si>
  <si>
    <t>Monat</t>
  </si>
  <si>
    <t>Jahr</t>
  </si>
  <si>
    <t>Quartal</t>
  </si>
  <si>
    <t>Einnahmen Gesamt:</t>
  </si>
  <si>
    <t>Vorname</t>
  </si>
  <si>
    <t>Name</t>
  </si>
  <si>
    <t>Geschäftszeichen</t>
  </si>
  <si>
    <t xml:space="preserve">Monat </t>
  </si>
  <si>
    <t>EUR</t>
  </si>
  <si>
    <t>Vermögend und stationär</t>
  </si>
  <si>
    <t>Mittellos und ambulant</t>
  </si>
  <si>
    <t>Mittellos und stationär</t>
  </si>
  <si>
    <t>Ihr Zeichen:</t>
  </si>
  <si>
    <t>Tag:</t>
  </si>
  <si>
    <t>Jahr:</t>
  </si>
  <si>
    <t>Vergütungszeitraum</t>
  </si>
  <si>
    <t>Von:</t>
  </si>
  <si>
    <t>Bis:</t>
  </si>
  <si>
    <t>Rechnungsbetrag</t>
  </si>
  <si>
    <t>Betreuungsquartal:</t>
  </si>
  <si>
    <t>Betreuungsmonat:</t>
  </si>
  <si>
    <t>Datum</t>
  </si>
  <si>
    <t>Monat:</t>
  </si>
  <si>
    <t>Berechnung (zweiter Monat):</t>
  </si>
  <si>
    <t>Berechnung (dritter Monat):</t>
  </si>
  <si>
    <t>Betreuungsmonat</t>
  </si>
  <si>
    <t>Datum Wechsel:</t>
  </si>
  <si>
    <t>Bis zum Wechsel:</t>
  </si>
  <si>
    <t>Seit dem Wechsel:</t>
  </si>
  <si>
    <t>Vergütungstabelle A</t>
  </si>
  <si>
    <t xml:space="preserve">Mittellos </t>
  </si>
  <si>
    <t>Quartal 1</t>
  </si>
  <si>
    <t>Quartal 2</t>
  </si>
  <si>
    <t>Quart. 3 &amp; 4</t>
  </si>
  <si>
    <t>Quartal 5-8</t>
  </si>
  <si>
    <t>Quartal 9 - …</t>
  </si>
  <si>
    <t>Stationär</t>
  </si>
  <si>
    <t xml:space="preserve">Ambulant </t>
  </si>
  <si>
    <t>Vermögend</t>
  </si>
  <si>
    <t>Vergütungstabelle B</t>
  </si>
  <si>
    <t>Vergütungstabelle C</t>
  </si>
  <si>
    <t>Vermögen in Höhe von mindestens 150.000 Euro.</t>
  </si>
  <si>
    <t>(monatlich)</t>
  </si>
  <si>
    <t>Wohnraum, der nicht vom Betreuten oder seinem Ehegatten genutzt wird.</t>
  </si>
  <si>
    <t>Erwerbsgeschäfts des Betreuten.</t>
  </si>
  <si>
    <t>Wechsel von einem beruflichen zu einem ehrenamtlichen Betreuer</t>
  </si>
  <si>
    <t>1,5-fache Fallpauschale</t>
  </si>
  <si>
    <t>(einmalig für den letzen Vergütungszeitraum)</t>
  </si>
  <si>
    <t>(einmalig zu Beginn der Betreuung)</t>
  </si>
  <si>
    <t>Pauschale Inflationsprämie:</t>
  </si>
  <si>
    <t>Inflationsprämie laut Bundesratsbeschluss vom 15.12.2023 7,00 EUR</t>
  </si>
  <si>
    <t>(monatlich, von Januar 2024 bis einschließlich Dezember 2025)</t>
  </si>
  <si>
    <r>
      <rPr>
        <b/>
        <sz val="14"/>
        <color indexed="8"/>
        <rFont val="Helvetica Neue"/>
        <family val="2"/>
      </rPr>
      <t xml:space="preserve">Die Inflationsprämie von 7,- EUR / Monat im Jahr 2024 und 2025, gilt für jeden Monat, auch wenn nur 1 Tag die Betreuung geführt wurde. </t>
    </r>
    <r>
      <rPr>
        <u/>
        <sz val="14"/>
        <color indexed="8"/>
        <rFont val="Helvetica Neue"/>
        <family val="2"/>
      </rPr>
      <t>Beispiel:</t>
    </r>
    <r>
      <rPr>
        <sz val="14"/>
        <color indexed="8"/>
        <rFont val="Helvetica Neue"/>
        <family val="2"/>
      </rPr>
      <t xml:space="preserve"> Das Abrechnungsquartal läuft vom 2. November 2023 bis zum 1. Februar 2024, die einzelnen Abrechnungsmonate wären 2. November bis 1. Dezember, 2. Dezember bis 1. Januar sowie 2. Januar bis 1. Februar. Der erste Abrechnungsmonat ist noch vollständig im Jahr 2023, die beiden anderen Abrechnungsmonate werden mit jeweils 7,-EUR zusätzlicher Pauschale vergütet. </t>
    </r>
  </si>
  <si>
    <t>Übersicht: gestellte Anträge / Einnahmen</t>
  </si>
  <si>
    <t>1. Quartal</t>
  </si>
  <si>
    <t>2. Quartal</t>
  </si>
  <si>
    <t>3. Quartal</t>
  </si>
  <si>
    <t>4. Quartal</t>
  </si>
  <si>
    <t xml:space="preserve">1. Quartal </t>
  </si>
  <si>
    <t xml:space="preserve">2. Quartal </t>
  </si>
  <si>
    <t xml:space="preserve">3. Quartal </t>
  </si>
  <si>
    <t xml:space="preserve">4. Quartal </t>
  </si>
  <si>
    <t>Einnahmen</t>
  </si>
  <si>
    <t>Erhalten in Höhe von:</t>
  </si>
  <si>
    <t>Gestellte Anträge</t>
  </si>
  <si>
    <t xml:space="preserve">Rechnungsjahr </t>
  </si>
  <si>
    <t>Gesamt eingenommen:</t>
  </si>
  <si>
    <t>Gesamt beantragt:</t>
  </si>
  <si>
    <t>Datum Zahlungseingang</t>
  </si>
  <si>
    <t>Nr.</t>
  </si>
  <si>
    <t>Nachname</t>
  </si>
  <si>
    <t>Vornahme</t>
  </si>
  <si>
    <t>Betreuungsbeginn</t>
  </si>
  <si>
    <t>Antrag Nr:</t>
  </si>
  <si>
    <t>Berechnung des Wechselmonats:</t>
  </si>
  <si>
    <t>Rechnungsbetrag:</t>
  </si>
  <si>
    <t>Berechnung (erster Monat):</t>
  </si>
  <si>
    <t>"1" = ✓</t>
  </si>
  <si>
    <t>Datum Betreuungsbeginn:</t>
  </si>
  <si>
    <r>
      <t>Ferner wird eine gesonderte Pauschale gem. § 5a VBVG geltend gemacht.</t>
    </r>
    <r>
      <rPr>
        <b/>
        <sz val="12"/>
        <color indexed="8"/>
        <rFont val="Helvetica Neue"/>
        <family val="2"/>
      </rPr>
      <t xml:space="preserve">
</t>
    </r>
  </si>
  <si>
    <t>Berechnungsdaten: Übergabe von Ehrenamt an Berufsbetreuer</t>
  </si>
  <si>
    <r>
      <rPr>
        <b/>
        <sz val="14"/>
        <color indexed="8"/>
        <rFont val="Helvetica Neue"/>
        <family val="2"/>
      </rPr>
      <t>In § 9 VBVG ist  inzwischen geregelt:</t>
    </r>
    <r>
      <rPr>
        <sz val="14"/>
        <color indexed="8"/>
        <rFont val="Helvetica Neue"/>
        <family val="2"/>
      </rPr>
      <t xml:space="preserve"> (4) Hinsichtlich der Bestimmung des Vermögensstatus des Betreuten ist entscheidend, ob </t>
    </r>
    <r>
      <rPr>
        <u/>
        <sz val="14"/>
        <color rgb="FF000000"/>
        <rFont val="Helvetica Neue"/>
        <family val="2"/>
      </rPr>
      <t>am Ende</t>
    </r>
    <r>
      <rPr>
        <sz val="14"/>
        <color indexed="8"/>
        <rFont val="Helvetica Neue"/>
        <family val="2"/>
      </rPr>
      <t xml:space="preserve"> des Abrechnungsmonats Mittellosigkeit nach § 1880 mit Verweis aucf § 90 SGB XII des Bürgerlichen Gesetzbuchs vorliegt. Hinsichtlich der Bestimmung des gewöhnlichen Aufenthaltes nach Absatz 3 ist entscheidend, wo der gewöhnliche Aufenthalt </t>
    </r>
    <r>
      <rPr>
        <u/>
        <sz val="14"/>
        <color rgb="FF000000"/>
        <rFont val="Helvetica Neue"/>
        <family val="2"/>
      </rPr>
      <t>am Ende</t>
    </r>
    <r>
      <rPr>
        <sz val="14"/>
        <color indexed="8"/>
        <rFont val="Helvetica Neue"/>
        <family val="2"/>
      </rPr>
      <t xml:space="preserve"> des Abrechnungsmonats liegt. </t>
    </r>
    <r>
      <rPr>
        <b/>
        <sz val="14"/>
        <color indexed="8"/>
        <rFont val="Helvetica Neue"/>
        <family val="2"/>
      </rPr>
      <t>Bei sonstigen Änderungen von Umständen, die sich auf die Vergütung auswirken und die vor Ablauf eines vollen Monats eintreten, ist die Vergütung zeitanteilig nach Tagen zu berechnen; § 187 Absatz 1, § 188 Absatz 1 und § 191 des Bürgerlichen Gesetzbuchs gelten entsprechend.</t>
    </r>
  </si>
  <si>
    <t>Die Zusatzpauschale wird monatlich gezahlt, wenn die beschriebene Situation mindestens an einem Tag des (Betreuung-) Monats vorhanden war. Die Pauschale wird insgesamt nur einmal pro Monat gezahlt, auch wenn mehrere der Voraussetzungen vorliegen.</t>
  </si>
  <si>
    <t>Gericht</t>
  </si>
  <si>
    <t>A1</t>
  </si>
  <si>
    <t>A2</t>
  </si>
  <si>
    <t>A3</t>
  </si>
  <si>
    <t>A4</t>
  </si>
  <si>
    <t>A5</t>
  </si>
  <si>
    <t>A6</t>
  </si>
  <si>
    <t>A7</t>
  </si>
  <si>
    <t>A8</t>
  </si>
  <si>
    <t>A9</t>
  </si>
  <si>
    <t>A10</t>
  </si>
  <si>
    <t>A11</t>
  </si>
  <si>
    <t>A12</t>
  </si>
  <si>
    <t>A13</t>
  </si>
  <si>
    <t>A14</t>
  </si>
  <si>
    <t>A15</t>
  </si>
  <si>
    <t>Bezeichnung Betreuungsbüro:</t>
  </si>
  <si>
    <t>Eigene Adresse:</t>
  </si>
  <si>
    <t>Adressen der Amtsgerichte:</t>
  </si>
  <si>
    <t>A16</t>
  </si>
  <si>
    <t>A17</t>
  </si>
  <si>
    <t>A18</t>
  </si>
  <si>
    <t>A19</t>
  </si>
  <si>
    <t>Inflations-
prämie
24 / 25</t>
  </si>
  <si>
    <t>Antrag Nr.</t>
  </si>
  <si>
    <t>Ihre Bankverbindung:</t>
  </si>
  <si>
    <t xml:space="preserve">Berechnungsgrundlage: Anlage zu § 4 Abs. 1 VBVG
_x000B_Vergütungstabelle C Nr. C5
Die Umsatzsteuerbefreiung für diese rechtliche Betreuungsleistung ergibt sich aus § 4 Nr. 16 Satz 1 Buchst. k UstG.
Mit freundlichen Grüßen,
</t>
  </si>
  <si>
    <t>a3</t>
  </si>
  <si>
    <t>davon Inflationsprämie</t>
  </si>
  <si>
    <t>Inflationsprämie</t>
  </si>
  <si>
    <t>Gesamtsumme</t>
  </si>
  <si>
    <t>Davon Inflationsprämie:</t>
  </si>
  <si>
    <t>Ohne Inflationsprämie:</t>
  </si>
  <si>
    <t>Gesammteinnahmen ohne Inflationspauschale:</t>
  </si>
  <si>
    <t>Gesammteinnahmen mit Inflationspauschale:</t>
  </si>
  <si>
    <t>Übersicht für Steuererklärung</t>
  </si>
  <si>
    <t>Diese Einnahmen in die Tabbele für das nächste Jahr eintragen.</t>
  </si>
  <si>
    <t>Vergütungs- antrag ist fällig seit Tagen:</t>
  </si>
  <si>
    <t>ohne Inflationsprämie:</t>
  </si>
  <si>
    <t xml:space="preserve">Anträge gestellt am: </t>
  </si>
  <si>
    <t>Aktueller Abrechnungsmonat, 
-Quartal und -Jahr</t>
  </si>
  <si>
    <t>1. Quartal 
Einnahmen</t>
  </si>
  <si>
    <t xml:space="preserve">2. Quartal 
Einnahmen </t>
  </si>
  <si>
    <t>3. Quartal 
Einnahmen</t>
  </si>
  <si>
    <t xml:space="preserve">4. Quartal 
Einnahmen </t>
  </si>
  <si>
    <t>Einnahmen erhalten in Höhe von:</t>
  </si>
  <si>
    <t>Kürzel</t>
  </si>
  <si>
    <t>Amtsgericht</t>
  </si>
  <si>
    <t>Übersicht der Adressaten</t>
  </si>
  <si>
    <t xml:space="preserve">© M.Ringens </t>
  </si>
  <si>
    <t>.</t>
  </si>
  <si>
    <r>
      <rPr>
        <b/>
        <sz val="14"/>
        <color theme="0"/>
        <rFont val="Helvetica Neue"/>
        <family val="2"/>
      </rPr>
      <t>´</t>
    </r>
    <r>
      <rPr>
        <b/>
        <sz val="14"/>
        <color indexed="8"/>
        <rFont val="Helvetica Neue"/>
        <family val="2"/>
      </rPr>
      <t>= optionales Quartal</t>
    </r>
  </si>
  <si>
    <r>
      <rPr>
        <b/>
        <sz val="14"/>
        <color theme="0"/>
        <rFont val="Helvetica Neue"/>
        <family val="2"/>
      </rPr>
      <t>´</t>
    </r>
    <r>
      <rPr>
        <b/>
        <sz val="14"/>
        <color indexed="8"/>
        <rFont val="Helvetica Neue"/>
        <family val="2"/>
      </rPr>
      <t>= optionales Datum</t>
    </r>
  </si>
  <si>
    <t>Antragssdatum:</t>
  </si>
  <si>
    <t>Antragsdatum:</t>
  </si>
  <si>
    <t>Klient</t>
  </si>
  <si>
    <t>Q1</t>
  </si>
  <si>
    <t>Q2</t>
  </si>
  <si>
    <t>Q3</t>
  </si>
  <si>
    <t>Q4</t>
  </si>
  <si>
    <t>Q1:</t>
  </si>
  <si>
    <t>Q2:</t>
  </si>
  <si>
    <t>Q3:</t>
  </si>
  <si>
    <t>Q4:</t>
  </si>
  <si>
    <t>Ihre Unterschrift:</t>
  </si>
  <si>
    <t>Aktuelle Differenzen</t>
  </si>
  <si>
    <r>
      <t xml:space="preserve">Amtsgericht Musterstadt
</t>
    </r>
    <r>
      <rPr>
        <sz val="12"/>
        <color rgb="FF0070C0"/>
        <rFont val="Arial"/>
        <family val="2"/>
      </rPr>
      <t xml:space="preserve">Betreuungsabteilung
Postfach 1234
</t>
    </r>
  </si>
  <si>
    <t>Alphabetisch sortiert</t>
  </si>
  <si>
    <t xml:space="preserve">Nach Nummern sortiert </t>
  </si>
  <si>
    <t>Auswahl treffen</t>
  </si>
  <si>
    <t xml:space="preserve">Quartal :
</t>
  </si>
  <si>
    <t>Antrag fällig seit X Tagen</t>
  </si>
  <si>
    <r>
      <t>Sehr geehrte Damen und Herren,</t>
    </r>
    <r>
      <rPr>
        <sz val="1"/>
        <color rgb="FF000000"/>
        <rFont val="Arial"/>
        <family val="2"/>
      </rPr>
      <t xml:space="preserve">
</t>
    </r>
    <r>
      <rPr>
        <sz val="12"/>
        <color indexed="8"/>
        <rFont val="Arial"/>
        <family val="2"/>
      </rPr>
      <t xml:space="preserve">hiermit beantrage ich in der o.g. Betreuungsangelegenheit, die </t>
    </r>
  </si>
  <si>
    <t>Betreuungsbüro Max Mustermann</t>
  </si>
  <si>
    <t xml:space="preserve">Max Mustermann
Postfach 12345
12345 Musterstadt
Tel: 052 – 40 30
Fax: 052 – 53 04 27 39 </t>
  </si>
  <si>
    <t xml:space="preserve">Bankverbindung: Max Muster IBAN: DE50 1234 5678 9102 9876 54 BIC: BANK23 											</t>
  </si>
  <si>
    <t>Anna</t>
  </si>
  <si>
    <t>Anderson</t>
  </si>
  <si>
    <t xml:space="preserve">10 XVII 763 /15 A </t>
  </si>
  <si>
    <t>Benjamin</t>
  </si>
  <si>
    <t>Brown</t>
  </si>
  <si>
    <t>10 XVII 834 / 19 B</t>
  </si>
  <si>
    <t>Charlotte</t>
  </si>
  <si>
    <t>Carter</t>
  </si>
  <si>
    <t>8 XVII 19/06 C</t>
  </si>
  <si>
    <t>David</t>
  </si>
  <si>
    <t>Davis</t>
  </si>
  <si>
    <t>10 XVII 77 / 17 D</t>
  </si>
  <si>
    <t>Emely</t>
  </si>
  <si>
    <t>Evians</t>
  </si>
  <si>
    <t>10 XVII / 1020/17 E</t>
  </si>
  <si>
    <t>Finn</t>
  </si>
  <si>
    <t>Fischer</t>
  </si>
  <si>
    <t xml:space="preserve">10 XVII 1145 / 18 F </t>
  </si>
  <si>
    <t>Grace</t>
  </si>
  <si>
    <t>Gracia</t>
  </si>
  <si>
    <t xml:space="preserve">10 XVII 369 / 18 G </t>
  </si>
  <si>
    <t>Henry</t>
  </si>
  <si>
    <t>Harris</t>
  </si>
  <si>
    <t>2 XVII 93 / 19 H</t>
  </si>
  <si>
    <t>Isabella</t>
  </si>
  <si>
    <t>Irving</t>
  </si>
  <si>
    <t>10 XVII 413 / 21 I</t>
  </si>
  <si>
    <t>Jack</t>
  </si>
  <si>
    <t>Johnson</t>
  </si>
  <si>
    <t>10 XVII 36/16 J</t>
  </si>
  <si>
    <t>Kate</t>
  </si>
  <si>
    <t>Kelly</t>
  </si>
  <si>
    <t>10 XVII 354/21 K</t>
  </si>
  <si>
    <t>Liam</t>
  </si>
  <si>
    <t>Lopez</t>
  </si>
  <si>
    <t>7 XVII 156/22 L</t>
  </si>
  <si>
    <r>
      <t xml:space="preserve">Für den oben genannten Zeitraum wird die pauschale Vergütung gem. §§ 4, 5 i.V.m der Anlage zu § 4 VBVG geltend gemacht.
</t>
    </r>
    <r>
      <rPr>
        <b/>
        <sz val="12"/>
        <color theme="1"/>
        <rFont val="Helvetica Neue"/>
        <family val="2"/>
      </rPr>
      <t>Berechnungsdaten:</t>
    </r>
  </si>
  <si>
    <t>Vermögend und ambulant</t>
  </si>
  <si>
    <t>Gesonderte Pauschalen</t>
  </si>
  <si>
    <t xml:space="preserve"> </t>
  </si>
  <si>
    <t>Stufe C</t>
  </si>
  <si>
    <r>
      <t>Sehr geehrte Damen und Herren,</t>
    </r>
    <r>
      <rPr>
        <sz val="1"/>
        <color rgb="FF000000"/>
        <rFont val="Arial"/>
        <family val="2"/>
      </rPr>
      <t xml:space="preserve">
</t>
    </r>
    <r>
      <rPr>
        <sz val="2"/>
        <color rgb="FF000000"/>
        <rFont val="Arial"/>
        <family val="2"/>
      </rPr>
      <t xml:space="preserve">
</t>
    </r>
    <r>
      <rPr>
        <sz val="12"/>
        <color indexed="8"/>
        <rFont val="Arial"/>
        <family val="2"/>
      </rPr>
      <t xml:space="preserve">hiermit beantrage ich in der o.g. Betreuungsangelegenheit, die </t>
    </r>
  </si>
  <si>
    <t>Wechsel, von:</t>
  </si>
  <si>
    <t>Zu der Kategorie:</t>
  </si>
  <si>
    <r>
      <rPr>
        <sz val="1"/>
        <color rgb="FF000000"/>
        <rFont val="Arial"/>
        <family val="2"/>
      </rPr>
      <t xml:space="preserve">
</t>
    </r>
    <r>
      <rPr>
        <sz val="12"/>
        <color indexed="8"/>
        <rFont val="Arial"/>
        <family val="2"/>
      </rPr>
      <t>Sehr geehrte Damen und Herren,</t>
    </r>
    <r>
      <rPr>
        <sz val="1"/>
        <color rgb="FF000000"/>
        <rFont val="Arial"/>
        <family val="2"/>
      </rPr>
      <t xml:space="preserve">
</t>
    </r>
    <r>
      <rPr>
        <sz val="2"/>
        <color rgb="FF000000"/>
        <rFont val="Arial"/>
        <family val="2"/>
      </rPr>
      <t xml:space="preserve">
</t>
    </r>
    <r>
      <rPr>
        <sz val="12"/>
        <color indexed="8"/>
        <rFont val="Arial"/>
        <family val="2"/>
      </rPr>
      <t>hiermit beantrage ich in der o.g. Betreuungsangelegenheit, die</t>
    </r>
  </si>
  <si>
    <t xml:space="preserve">Tage = </t>
  </si>
  <si>
    <t>Tage /</t>
  </si>
  <si>
    <t>EUR *</t>
  </si>
  <si>
    <t>von:</t>
  </si>
  <si>
    <t>bis:</t>
  </si>
  <si>
    <t>Tage =</t>
  </si>
  <si>
    <r>
      <t>Für den o. g. Zeitraum wird die pauschale Vergütung gem. §§ 4, 5 i.V.m der Anlage zu § 4 VBVG geltend gemacht.</t>
    </r>
    <r>
      <rPr>
        <sz val="20"/>
        <color rgb="FF000000"/>
        <rFont val="Helvetica Neue"/>
        <family val="2"/>
      </rPr>
      <t xml:space="preserve">
</t>
    </r>
    <r>
      <rPr>
        <b/>
        <sz val="12"/>
        <color rgb="FF000000"/>
        <rFont val="Helvetica Neue"/>
        <family val="2"/>
      </rPr>
      <t>Berechnungsdaten:</t>
    </r>
  </si>
  <si>
    <t>Pauschale:</t>
  </si>
  <si>
    <t>Übernahme von Berufsbetreuer</t>
  </si>
  <si>
    <r>
      <t xml:space="preserve">Für den o. g. Zeitraum wird die pauschale Vergütung gem. §§ 4, 5 i.V.m der Anlage zu § 4 VBVG geltend gemacht.
</t>
    </r>
    <r>
      <rPr>
        <b/>
        <sz val="12"/>
        <color rgb="FF000000"/>
        <rFont val="Helvetica Neue"/>
        <family val="2"/>
      </rPr>
      <t>Berechnungsdaten:</t>
    </r>
  </si>
  <si>
    <t>Beginn der Betreuung</t>
  </si>
  <si>
    <t>/</t>
  </si>
  <si>
    <t>€   X</t>
  </si>
  <si>
    <t>Heute:</t>
  </si>
  <si>
    <t>Amtsgericht XXX
Betreuungsgericht
Postfach XXX</t>
  </si>
  <si>
    <r>
      <t xml:space="preserve">Amtsgericht Marsberg
</t>
    </r>
    <r>
      <rPr>
        <sz val="12"/>
        <color rgb="FF0070C0"/>
        <rFont val="Arial"/>
        <family val="2"/>
      </rPr>
      <t>Betreuungsgericht
Postfach 1555
34421 Marsberg</t>
    </r>
  </si>
  <si>
    <r>
      <t xml:space="preserve">Amtsgericht Brakel
</t>
    </r>
    <r>
      <rPr>
        <sz val="12"/>
        <color rgb="FF0070C0"/>
        <rFont val="Arial"/>
        <family val="2"/>
      </rPr>
      <t>Betreuungsgericht
Nieheimer Str. 17
33934 Brakel</t>
    </r>
  </si>
  <si>
    <r>
      <rPr>
        <b/>
        <sz val="12"/>
        <color rgb="FF0070C0"/>
        <rFont val="Arial"/>
        <family val="2"/>
      </rPr>
      <t xml:space="preserve">Amtsgericht Lennestadt </t>
    </r>
    <r>
      <rPr>
        <sz val="12"/>
        <color rgb="FF0070C0"/>
        <rFont val="Arial"/>
        <family val="2"/>
      </rPr>
      <t xml:space="preserve">
Betreuungsgericht</t>
    </r>
    <r>
      <rPr>
        <b/>
        <sz val="12"/>
        <color rgb="FF0070C0"/>
        <rFont val="Arial"/>
        <family val="2"/>
      </rPr>
      <t xml:space="preserve">
</t>
    </r>
    <r>
      <rPr>
        <sz val="12"/>
        <color rgb="FF0070C0"/>
        <rFont val="Arial"/>
        <family val="2"/>
      </rPr>
      <t xml:space="preserve">Postfach 3040
57347 Lennestadt
</t>
    </r>
  </si>
  <si>
    <r>
      <t xml:space="preserve">Amtsgericht Delbrück
</t>
    </r>
    <r>
      <rPr>
        <sz val="12"/>
        <color rgb="FF0070C0"/>
        <rFont val="Arial"/>
        <family val="2"/>
      </rPr>
      <t>Betreuungsgericht
Postfach 1161
33119 Delbrück</t>
    </r>
  </si>
  <si>
    <t>Amtsgericht Detmold 
Betreuungsgericht
Postfach 1163 
32701 Detmold</t>
  </si>
  <si>
    <r>
      <t xml:space="preserve">
Anleitung:</t>
    </r>
    <r>
      <rPr>
        <sz val="30"/>
        <color rgb="FF000000"/>
        <rFont val="Helvetica"/>
        <family val="2"/>
      </rPr>
      <t xml:space="preserve">
- Drucken Sie diese Anleitung am besten aus, um sie bei der Hand zu halten.
- Machen Sie sich eine Sicherheitskopie von der Datei.  Nutzen Sie für jedes neue Abrechnungsjahr eine neue Datei und legen Sie die aus den bisherigen Jahren ins Archiv.
- Alle Eingabefelder sind in blauer Schrift gehalten.
</t>
    </r>
    <r>
      <rPr>
        <b/>
        <sz val="30"/>
        <color rgb="FF000000"/>
        <rFont val="Helvetica"/>
        <family val="2"/>
      </rPr>
      <t xml:space="preserve">Scrollen Sie nun </t>
    </r>
    <r>
      <rPr>
        <sz val="30"/>
        <color rgb="FF000000"/>
        <rFont val="Helvetica"/>
        <family val="2"/>
      </rPr>
      <t xml:space="preserve">zunächst nach unten, unter die Anleitung und tragen dort die Bezeichnung für Ihr Betreuungsbüro ein, Ihre Anschrift, Ihre Bankverbindung und fügen Sie falls gewünscht Ihre Unterschrift als Bild ein. Gehen Sie dafür auf die entsprechende Zelle, wählen in der Menüleiste Einfügen&gt;Bild&gt;In Zelle Platzieren&gt;Aus Datei wählen. (Je nach Version von Exel ggf. so ähnlich.) Beachten Sie, dass Sie bei Exel nicht so leicht einen Zeilenumbruch machen können. Drücken Sie dazu `Alt + Enter` (auf Windows) oder `Option + Enter` (auf Mac). Dadurch wird ein manueller Zeilenumbruch eingefügt. 
</t>
    </r>
    <r>
      <rPr>
        <b/>
        <sz val="30"/>
        <color rgb="FF000000"/>
        <rFont val="Helvetica"/>
        <family val="2"/>
      </rPr>
      <t>1. Blatt - Aktuelle Einnahmen</t>
    </r>
    <r>
      <rPr>
        <sz val="30"/>
        <color rgb="FF000000"/>
        <rFont val="Helvetica"/>
        <family val="2"/>
      </rPr>
      <t xml:space="preserve">
Scrollen Sie auf dem Blatt nach unten. Dort tragen Sie die Anschriften der Amtsgerichte ein, die Sie anschreiben wollen. Links von den Adresszeilen für die Amtsgerichte stehen die Kürzel A1, A2, A3, u.s.w. Diese tragen Sie oben jeweils zu den Klienten ein, zwischen das Datum vom Beginn der Betreuung und der Vergütungskategorie des Klienten.
Wählen Sie oben rechts die Vergütungskategorie aus, nach der Sie abrechen: "Stufe A", "Stufe B", oder "Stufe C". Tragen Sie Ihre Klienten mit Namen, Geschäftszeichen und Tag des Beginn der Betreuung ein und wählen die entsprechenden Vergütungskategorien der Klienten. Ganz rechts ist noch eine Spalte für zusätzliche Pauschalen nach § 5a VBVG, die Sie ggf. auswählen können. 
Entsprechend dem von Ihnen gewählten "Heutiges Datum", wird nun die aktuelle Einnahme errechnet. Das Datum für die Vergütungsanträge links davon, wählen Sie für den Tag, an dem Sie Vergütungsanträge stellen.
</t>
    </r>
    <r>
      <rPr>
        <b/>
        <sz val="30"/>
        <color rgb="FF000000"/>
        <rFont val="Helvetica"/>
        <family val="2"/>
      </rPr>
      <t>2. Blatt - Vergütungsantrag ohne Wechsel</t>
    </r>
    <r>
      <rPr>
        <sz val="30"/>
        <color rgb="FF000000"/>
        <rFont val="Helvetica"/>
        <family val="2"/>
      </rPr>
      <t xml:space="preserve">
Gehen Sie nun auf das zweite Blatt „Vergütungsantrag ohne Wechsel"
Um nun den ersten Vergütungsantrag zu stellen, tragen Sie in das Feld mit blauer Schrift, das rechts von „Antrag Nr.“ ist, die Nummer ein, die in der Liste auf dem Blatt „Aktuelle Einnahmen“ vor dem gewünschten Klienten steht. Der Klientenname, das Geschäftszeichen und der Betreuungsbeginn, werden dann von der Tabelle automatisch ausgefüllt. Das Datum der Antragstellung entspricht dem Datum auf der Seite "Aktuelle Einnahmen" Wenn Sie ein anderes Datum verwenden möchten, können Sie es rechts von dem Antragsformular, bei "Optionales Datum" eintragen. Wenn Sie ein anderes Quartal abrechnen wollen, tragen Sie es bei "Optionales Quartal" ein. Sie haben jetzt noch die Möglichkeit  gesonderte Pauschalen nach §5a VBVG auswählen.
Drucken Sie nun den ersten Antrag aus und öffnen Sie das Blatt 5.
</t>
    </r>
    <r>
      <rPr>
        <b/>
        <sz val="30"/>
        <color rgb="FF000000"/>
        <rFont val="Helvetica"/>
        <family val="2"/>
      </rPr>
      <t>Blatt 5 - Übersicht Anträge / Einnahmen</t>
    </r>
    <r>
      <rPr>
        <sz val="30"/>
        <color rgb="FF000000"/>
        <rFont val="Helvetica"/>
        <family val="2"/>
      </rPr>
      <t xml:space="preserve">
Tragen Sie als erstes oben links auf dem Blatt „Übersicht Anträge / Einnahmen“ das gewünschte Abrechnungsjahr ein. Z.B. „2024“
Tragen Sie nun, rechts von dem jeweiligen Klienten im Feld zu dem entsprechenden Quartal, die beantragte Summe ein. Sobald Sie einen Zahlungseingang haben, können Sie etwas weiter rechts die entsprechende Summe und das Datum vom Zahlungseingang eintragen. Alle Summen werden automatisch zusammengezählt und oben links angezeigt. Tragen Sie die Inflationsprämie nochmal extra ein. Weil diese steuerfrei ist wird sie nochmal extra aufgelistet.
Die Zahlungseingänge, die im folgenden Kalenderjahr erst eingehen, tragen Sie ganz rechts ein. Diese Werte werden nicht zu den Einnahmen in diesem Jahr gezählt, sondern müssen von Ihnen in die neue Tabelle für das neue Jahr eingetragen werden, in die entsprechenden Zellen E8 und D8
</t>
    </r>
    <r>
      <rPr>
        <b/>
        <sz val="30"/>
        <color rgb="FF000000"/>
        <rFont val="Helvetica"/>
        <family val="2"/>
      </rPr>
      <t xml:space="preserve">Blatt 3 - Wechsel Kategorien </t>
    </r>
    <r>
      <rPr>
        <sz val="30"/>
        <color rgb="FF000000"/>
        <rFont val="Helvetica"/>
        <family val="2"/>
      </rPr>
      <t xml:space="preserve">
Hat im Vergütungszeitraum ein Wechsel der Vergütungskategorie stattgefunden, wählen Sie die entsprechenden Kategorien aus und geben Sie weiter unten das Datum des Wechsels ein.
</t>
    </r>
    <r>
      <rPr>
        <b/>
        <sz val="30"/>
        <color rgb="FF000000"/>
        <rFont val="Helvetica"/>
        <family val="2"/>
      </rPr>
      <t>Blatt 4 - Wechsel Beginn - Ende</t>
    </r>
    <r>
      <rPr>
        <sz val="30"/>
        <color rgb="FF000000"/>
        <rFont val="Helvetica"/>
        <family val="2"/>
      </rPr>
      <t xml:space="preserve">
Haben Sie einen Klienten übernommen, oder geben Sie einen Klienten ab, nutzen Sie dieses Blatt. Gehen Sie zunächst wie bei Blatt 2 vor und tragen Sie die Zahl zu "Antrag Nr." ein und wählen Sie das gewünschte Quartal.
Zusätzlich haben Sie nun zwei weitere Auswahlmöglichkeiten: Die Form des Wechsel auszuwählen und den Tag des Wechsels einzutragen. 
</t>
    </r>
    <r>
      <rPr>
        <b/>
        <sz val="30"/>
        <color rgb="FF000000"/>
        <rFont val="Helvetica"/>
        <family val="2"/>
      </rPr>
      <t>Blatt 6- Übersicht für Steuererklärung</t>
    </r>
    <r>
      <rPr>
        <sz val="30"/>
        <color rgb="FF000000"/>
        <rFont val="Helvetica"/>
        <family val="2"/>
      </rPr>
      <t xml:space="preserve">
Dieses Blatt können Sie am Ende das Jahre ausdrucken. Hier stehen bereits die für Ihre Steuererklärung relevanten Einnahmen aufgeschlüsselt. 
</t>
    </r>
    <r>
      <rPr>
        <b/>
        <sz val="30"/>
        <color rgb="FF000000"/>
        <rFont val="Helvetica"/>
        <family val="2"/>
      </rPr>
      <t>Vorschläge und Hinweise? Immer her damit: 
info@der-betreuungsbro.de
Meine Webseite ist erreichbar unter:
https://www.der-bertreuungsbro.de</t>
    </r>
  </si>
  <si>
    <t xml:space="preserve">Hier, im blauen Feld, kannst Du Teile des Geschäftszeichen eingeben, um zu wissen, zu welchem Klienten es gehört. </t>
  </si>
  <si>
    <t>156</t>
  </si>
  <si>
    <t>Gesonderte Pauschale gem. §10 VBVG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</si>
</sst>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d\.m\.yyyy"/>
    <numFmt numFmtId="165" formatCode="[$€-2]\ 0.00"/>
    <numFmt numFmtId="166" formatCode="#,###"/>
    <numFmt numFmtId="167" formatCode="dd\.mm\.yy"/>
    <numFmt numFmtId="168" formatCode=".##"/>
    <numFmt numFmtId="169" formatCode="[$€-2]\ #,##0.00"/>
    <numFmt numFmtId="170" formatCode="dd\.mm\.yyyy"/>
    <numFmt numFmtId="171" formatCode="#,##0.00\ &quot;€&quot;"/>
    <numFmt numFmtId="172" formatCode="d/m/yyyy;@"/>
    <numFmt numFmtId="173" formatCode="#,##0.00\ _€"/>
  </numFmts>
  <fonts count="154">
    <font>
      <sz val="10"/>
      <color indexed="8"/>
      <name val="Helvetica Neue"/>
    </font>
    <font>
      <sz val="12"/>
      <color indexed="8"/>
      <name val="Helvetica Neue"/>
      <family val="2"/>
    </font>
    <font>
      <sz val="12"/>
      <color indexed="8"/>
      <name val="Helvetica"/>
      <family val="2"/>
    </font>
    <font>
      <b/>
      <sz val="12"/>
      <color indexed="8"/>
      <name val="Helvetica"/>
      <family val="2"/>
    </font>
    <font>
      <b/>
      <sz val="12"/>
      <color indexed="10"/>
      <name val="Helvetica"/>
      <family val="2"/>
    </font>
    <font>
      <b/>
      <u/>
      <sz val="26"/>
      <color indexed="8"/>
      <name val="Helvetica Neue"/>
      <family val="2"/>
    </font>
    <font>
      <b/>
      <sz val="10"/>
      <color indexed="8"/>
      <name val="Helvetica Neue"/>
      <family val="2"/>
    </font>
    <font>
      <b/>
      <sz val="14"/>
      <color indexed="8"/>
      <name val="Helvetica Neue"/>
      <family val="2"/>
    </font>
    <font>
      <b/>
      <sz val="20"/>
      <color indexed="8"/>
      <name val="Helvetica Neue"/>
      <family val="2"/>
    </font>
    <font>
      <b/>
      <sz val="16"/>
      <color indexed="8"/>
      <name val="Helvetica Neue"/>
      <family val="2"/>
    </font>
    <font>
      <sz val="1"/>
      <color indexed="8"/>
      <name val="Helvetica Neue"/>
      <family val="2"/>
    </font>
    <font>
      <b/>
      <sz val="11"/>
      <color indexed="8"/>
      <name val="Arial"/>
      <family val="2"/>
    </font>
    <font>
      <b/>
      <sz val="12"/>
      <color indexed="8"/>
      <name val="Helvetica Neue"/>
      <family val="2"/>
    </font>
    <font>
      <b/>
      <sz val="12"/>
      <color indexed="10"/>
      <name val="Helvetica Neue"/>
      <family val="2"/>
    </font>
    <font>
      <b/>
      <sz val="12"/>
      <color indexed="10"/>
      <name val="Arial"/>
      <family val="2"/>
    </font>
    <font>
      <b/>
      <sz val="11"/>
      <color indexed="8"/>
      <name val="Helvetica Neue"/>
      <family val="2"/>
    </font>
    <font>
      <b/>
      <sz val="10"/>
      <color indexed="8"/>
      <name val="Arial"/>
      <family val="2"/>
    </font>
    <font>
      <sz val="10"/>
      <color indexed="13"/>
      <name val="Arial"/>
      <family val="2"/>
    </font>
    <font>
      <sz val="11"/>
      <color indexed="8"/>
      <name val="Arial"/>
      <family val="2"/>
    </font>
    <font>
      <b/>
      <sz val="12"/>
      <color indexed="8"/>
      <name val="Arial"/>
      <family val="2"/>
    </font>
    <font>
      <b/>
      <sz val="1"/>
      <color indexed="8"/>
      <name val="Arial"/>
      <family val="2"/>
    </font>
    <font>
      <sz val="10"/>
      <color indexed="8"/>
      <name val="Arial"/>
      <family val="2"/>
    </font>
    <font>
      <sz val="12"/>
      <color indexed="8"/>
      <name val="Arial"/>
      <family val="2"/>
    </font>
    <font>
      <b/>
      <u/>
      <sz val="14"/>
      <color indexed="8"/>
      <name val="Arial"/>
      <family val="2"/>
    </font>
    <font>
      <sz val="10"/>
      <color indexed="15"/>
      <name val="Arial"/>
      <family val="2"/>
    </font>
    <font>
      <b/>
      <sz val="10"/>
      <color indexed="13"/>
      <name val="Arial"/>
      <family val="2"/>
    </font>
    <font>
      <sz val="10"/>
      <color indexed="13"/>
      <name val="Helvetica Neue"/>
      <family val="2"/>
    </font>
    <font>
      <sz val="11"/>
      <color indexed="8"/>
      <name val="Helvetica Neue"/>
      <family val="2"/>
    </font>
    <font>
      <b/>
      <u/>
      <sz val="12"/>
      <color indexed="8"/>
      <name val="Helvetica Neue"/>
      <family val="2"/>
    </font>
    <font>
      <u/>
      <sz val="14"/>
      <color indexed="8"/>
      <name val="Helvetica Neue"/>
      <family val="2"/>
    </font>
    <font>
      <sz val="14"/>
      <color indexed="8"/>
      <name val="Helvetica Neue"/>
      <family val="2"/>
    </font>
    <font>
      <b/>
      <sz val="1"/>
      <color indexed="8"/>
      <name val="Helvetica Neue"/>
      <family val="2"/>
    </font>
    <font>
      <sz val="10"/>
      <color indexed="14"/>
      <name val="Helvetica Neue"/>
      <family val="2"/>
    </font>
    <font>
      <b/>
      <sz val="11"/>
      <color indexed="8"/>
      <name val="Helvetica Neue"/>
      <family val="2"/>
    </font>
    <font>
      <sz val="11"/>
      <color indexed="14"/>
      <name val="Arial"/>
      <family val="2"/>
    </font>
    <font>
      <sz val="5"/>
      <color indexed="8"/>
      <name val="Helvetica"/>
      <family val="2"/>
    </font>
    <font>
      <sz val="10"/>
      <color indexed="12"/>
      <name val="Helvetica"/>
      <family val="2"/>
    </font>
    <font>
      <sz val="10"/>
      <color indexed="12"/>
      <name val="Helvetica Neue"/>
      <family val="2"/>
    </font>
    <font>
      <sz val="10"/>
      <color indexed="12"/>
      <name val="Arial"/>
      <family val="2"/>
    </font>
    <font>
      <sz val="10"/>
      <color indexed="13"/>
      <name val="Helvetica"/>
      <family val="2"/>
    </font>
    <font>
      <b/>
      <sz val="10"/>
      <color indexed="14"/>
      <name val="Helvetica Neue"/>
      <family val="2"/>
    </font>
    <font>
      <b/>
      <sz val="10"/>
      <color indexed="14"/>
      <name val="Helvetica"/>
      <family val="2"/>
    </font>
    <font>
      <sz val="10"/>
      <color indexed="14"/>
      <name val="Helvetica"/>
      <family val="2"/>
    </font>
    <font>
      <sz val="10"/>
      <color indexed="10"/>
      <name val="Helvetica Neue"/>
      <family val="2"/>
    </font>
    <font>
      <sz val="10"/>
      <color theme="1"/>
      <name val="Helvetica Neue"/>
      <family val="2"/>
    </font>
    <font>
      <b/>
      <sz val="10"/>
      <color theme="1"/>
      <name val="Arial"/>
      <family val="2"/>
    </font>
    <font>
      <b/>
      <sz val="12"/>
      <color theme="1"/>
      <name val="Arial"/>
      <family val="2"/>
    </font>
    <font>
      <sz val="10"/>
      <color theme="1"/>
      <name val="Arial"/>
      <family val="2"/>
    </font>
    <font>
      <sz val="11"/>
      <color theme="1"/>
      <name val="Arial"/>
      <family val="2"/>
    </font>
    <font>
      <b/>
      <sz val="10"/>
      <color theme="1"/>
      <name val="Helvetica Neue"/>
      <family val="2"/>
    </font>
    <font>
      <b/>
      <sz val="11"/>
      <color theme="1"/>
      <name val="Arial"/>
      <family val="2"/>
    </font>
    <font>
      <b/>
      <sz val="12"/>
      <color theme="1"/>
      <name val="Helvetica Neue"/>
      <family val="2"/>
    </font>
    <font>
      <b/>
      <u/>
      <sz val="11"/>
      <color theme="1"/>
      <name val="Arial"/>
      <family val="2"/>
    </font>
    <font>
      <b/>
      <sz val="16"/>
      <color theme="1"/>
      <name val="Helvetica Neue"/>
      <family val="2"/>
    </font>
    <font>
      <b/>
      <sz val="11"/>
      <color theme="0"/>
      <name val="Arial"/>
      <family val="2"/>
    </font>
    <font>
      <sz val="10"/>
      <color theme="0"/>
      <name val="Arial"/>
      <family val="2"/>
    </font>
    <font>
      <b/>
      <sz val="10"/>
      <color theme="0"/>
      <name val="Arial"/>
      <family val="2"/>
    </font>
    <font>
      <sz val="10"/>
      <color theme="0"/>
      <name val="Helvetica Neue"/>
      <family val="2"/>
    </font>
    <font>
      <sz val="11"/>
      <color theme="0"/>
      <name val="Arial"/>
      <family val="2"/>
    </font>
    <font>
      <b/>
      <sz val="13"/>
      <color rgb="FF0033C2"/>
      <name val="Arial"/>
      <family val="2"/>
    </font>
    <font>
      <sz val="13"/>
      <color rgb="FF0033C2"/>
      <name val="Helvetica Neue"/>
      <family val="2"/>
    </font>
    <font>
      <b/>
      <sz val="10"/>
      <color theme="0"/>
      <name val="Helvetica Neue"/>
      <family val="2"/>
    </font>
    <font>
      <b/>
      <sz val="14"/>
      <color indexed="8"/>
      <name val="Arial"/>
      <family val="2"/>
    </font>
    <font>
      <b/>
      <sz val="11"/>
      <color theme="0"/>
      <name val="Helvetica Neue"/>
      <family val="2"/>
    </font>
    <font>
      <sz val="11"/>
      <color theme="0"/>
      <name val="Helvetica Neue"/>
      <family val="2"/>
    </font>
    <font>
      <b/>
      <sz val="12"/>
      <color theme="0"/>
      <name val="Arial"/>
      <family val="2"/>
    </font>
    <font>
      <sz val="12"/>
      <color theme="0"/>
      <name val="Arial"/>
      <family val="2"/>
    </font>
    <font>
      <b/>
      <sz val="25.8"/>
      <color indexed="8"/>
      <name val="Helvetica Neue"/>
      <family val="2"/>
    </font>
    <font>
      <b/>
      <sz val="14"/>
      <color rgb="FF0033C2"/>
      <name val="Helvetica Neue"/>
      <family val="2"/>
    </font>
    <font>
      <b/>
      <sz val="16"/>
      <color rgb="FF0033C2"/>
      <name val="Helvetica Neue"/>
      <family val="2"/>
    </font>
    <font>
      <b/>
      <sz val="21"/>
      <color rgb="FF0033C2"/>
      <name val="Helvetica Neue"/>
      <family val="2"/>
    </font>
    <font>
      <b/>
      <u/>
      <sz val="16"/>
      <color indexed="8"/>
      <name val="Helvetica Neue"/>
      <family val="2"/>
    </font>
    <font>
      <b/>
      <sz val="11"/>
      <color indexed="10"/>
      <name val="Arial"/>
      <family val="2"/>
    </font>
    <font>
      <b/>
      <sz val="10"/>
      <color indexed="10"/>
      <name val="Helvetica Neue"/>
      <family val="2"/>
    </font>
    <font>
      <b/>
      <sz val="22"/>
      <color rgb="FF0033C2"/>
      <name val="Helvetica Neue"/>
      <family val="2"/>
    </font>
    <font>
      <b/>
      <u/>
      <sz val="12"/>
      <color rgb="FF008F51"/>
      <name val="Helvetica Neue"/>
      <family val="2"/>
    </font>
    <font>
      <b/>
      <u/>
      <sz val="12"/>
      <color indexed="27"/>
      <name val="Helvetica Neue"/>
      <family val="2"/>
    </font>
    <font>
      <sz val="10"/>
      <color indexed="8"/>
      <name val="Helvetica Neue"/>
      <family val="2"/>
    </font>
    <font>
      <u/>
      <sz val="14"/>
      <color rgb="FF000000"/>
      <name val="Helvetica Neue"/>
      <family val="2"/>
    </font>
    <font>
      <b/>
      <sz val="22"/>
      <color rgb="FF000000"/>
      <name val="Helvetica Neue"/>
      <family val="2"/>
    </font>
    <font>
      <b/>
      <sz val="20"/>
      <color rgb="FF000000"/>
      <name val="Helvetica Neue"/>
      <family val="2"/>
    </font>
    <font>
      <b/>
      <sz val="22"/>
      <color indexed="8"/>
      <name val="Helvetica Neue"/>
      <family val="2"/>
    </font>
    <font>
      <sz val="12"/>
      <color theme="1"/>
      <name val="Helvetica Neue"/>
      <family val="2"/>
    </font>
    <font>
      <sz val="8"/>
      <name val="Helvetica Neue"/>
      <family val="2"/>
    </font>
    <font>
      <sz val="12"/>
      <color theme="1"/>
      <name val="Arial"/>
      <family val="2"/>
    </font>
    <font>
      <b/>
      <sz val="18"/>
      <color theme="1"/>
      <name val="Arial"/>
      <family val="2"/>
    </font>
    <font>
      <sz val="18"/>
      <color theme="1"/>
      <name val="Helvetica Neue"/>
      <family val="2"/>
    </font>
    <font>
      <b/>
      <sz val="12"/>
      <color rgb="FF0070C0"/>
      <name val="Helvetica Neue"/>
      <family val="2"/>
    </font>
    <font>
      <b/>
      <sz val="12"/>
      <color rgb="FF0070C0"/>
      <name val="Arial"/>
      <family val="2"/>
    </font>
    <font>
      <sz val="12"/>
      <color rgb="FF0070C0"/>
      <name val="Arial"/>
      <family val="2"/>
    </font>
    <font>
      <b/>
      <sz val="12"/>
      <color rgb="FF000000"/>
      <name val="Helvetica Neue"/>
      <family val="2"/>
    </font>
    <font>
      <b/>
      <sz val="22"/>
      <color theme="1"/>
      <name val="Helvetica Neue"/>
      <family val="2"/>
    </font>
    <font>
      <b/>
      <sz val="10"/>
      <color rgb="FF0070C0"/>
      <name val="Helvetica Neue"/>
      <family val="2"/>
    </font>
    <font>
      <b/>
      <sz val="22"/>
      <color rgb="FF0070C0"/>
      <name val="Helvetica Neue"/>
      <family val="2"/>
    </font>
    <font>
      <sz val="16"/>
      <color indexed="8"/>
      <name val="Helvetica Neue"/>
      <family val="2"/>
    </font>
    <font>
      <sz val="30"/>
      <color indexed="8"/>
      <name val="Helvetica"/>
      <family val="2"/>
    </font>
    <font>
      <b/>
      <sz val="30"/>
      <color rgb="FF000000"/>
      <name val="Helvetica"/>
      <family val="2"/>
    </font>
    <font>
      <sz val="30"/>
      <color rgb="FF000000"/>
      <name val="Helvetica"/>
      <family val="2"/>
    </font>
    <font>
      <sz val="10"/>
      <color rgb="FF0070C0"/>
      <name val="Helvetica Neue"/>
      <family val="2"/>
    </font>
    <font>
      <b/>
      <sz val="12"/>
      <color theme="8" tint="-0.249977111117893"/>
      <name val="Helvetica Neue"/>
      <family val="2"/>
    </font>
    <font>
      <b/>
      <sz val="16"/>
      <color rgb="FF0070C0"/>
      <name val="Helvetica Neue"/>
      <family val="2"/>
    </font>
    <font>
      <b/>
      <sz val="12"/>
      <color theme="8"/>
      <name val="Helvetica Neue"/>
      <family val="2"/>
    </font>
    <font>
      <b/>
      <sz val="17"/>
      <color indexed="8"/>
      <name val="Helvetica Neue"/>
      <family val="2"/>
    </font>
    <font>
      <b/>
      <u/>
      <sz val="14"/>
      <color indexed="8"/>
      <name val="Helvetica Neue"/>
      <family val="2"/>
    </font>
    <font>
      <b/>
      <sz val="10"/>
      <color theme="2" tint="-9.9978637043366805E-2"/>
      <name val="Helvetica Neue"/>
      <family val="2"/>
    </font>
    <font>
      <sz val="20"/>
      <color indexed="8"/>
      <name val="Helvetica Neue"/>
      <family val="2"/>
    </font>
    <font>
      <b/>
      <sz val="8"/>
      <color indexed="8"/>
      <name val="Helvetica Neue"/>
      <family val="2"/>
    </font>
    <font>
      <b/>
      <sz val="13"/>
      <color theme="1"/>
      <name val="Arial"/>
      <family val="2"/>
    </font>
    <font>
      <b/>
      <sz val="16"/>
      <color theme="8"/>
      <name val="Helvetica Neue"/>
      <family val="2"/>
    </font>
    <font>
      <sz val="10"/>
      <color theme="8"/>
      <name val="Helvetica Neue"/>
      <family val="2"/>
    </font>
    <font>
      <b/>
      <sz val="11"/>
      <color theme="1"/>
      <name val="Helvetica Neue"/>
      <family val="2"/>
    </font>
    <font>
      <b/>
      <sz val="14"/>
      <color theme="0"/>
      <name val="Helvetica Neue"/>
      <family val="2"/>
    </font>
    <font>
      <u/>
      <sz val="12"/>
      <color indexed="8"/>
      <name val="Helvetica Neue"/>
      <family val="2"/>
    </font>
    <font>
      <b/>
      <sz val="14"/>
      <color rgb="FF0070C0"/>
      <name val="Helvetica Neue"/>
      <family val="2"/>
    </font>
    <font>
      <b/>
      <u/>
      <sz val="20"/>
      <color indexed="8"/>
      <name val="Helvetica Neue"/>
      <family val="2"/>
    </font>
    <font>
      <sz val="16"/>
      <color theme="1"/>
      <name val="Helvetica Neue"/>
      <family val="2"/>
    </font>
    <font>
      <sz val="22"/>
      <color indexed="8"/>
      <name val="Helvetica Neue"/>
      <family val="2"/>
    </font>
    <font>
      <b/>
      <sz val="14"/>
      <color theme="1"/>
      <name val="Arial"/>
      <family val="2"/>
    </font>
    <font>
      <sz val="14"/>
      <color theme="1"/>
      <name val="Helvetica Neue"/>
      <family val="2"/>
    </font>
    <font>
      <b/>
      <sz val="14"/>
      <color theme="1"/>
      <name val="Helvetica Neue"/>
      <family val="2"/>
    </font>
    <font>
      <sz val="11"/>
      <color theme="1"/>
      <name val="Helvetica Neue"/>
      <family val="2"/>
    </font>
    <font>
      <b/>
      <u/>
      <sz val="12"/>
      <color theme="1"/>
      <name val="Helvetica Neue"/>
      <family val="2"/>
    </font>
    <font>
      <b/>
      <sz val="1"/>
      <color theme="0"/>
      <name val="Arial"/>
      <family val="2"/>
    </font>
    <font>
      <sz val="1"/>
      <color theme="0"/>
      <name val="Arial"/>
      <family val="2"/>
    </font>
    <font>
      <b/>
      <sz val="16"/>
      <color theme="0"/>
      <name val="Helvetica Neue"/>
      <family val="2"/>
    </font>
    <font>
      <b/>
      <sz val="13"/>
      <color rgb="FF0070C0"/>
      <name val="Arial"/>
      <family val="2"/>
    </font>
    <font>
      <sz val="12"/>
      <color theme="0"/>
      <name val="Helvetica Neue"/>
      <family val="2"/>
    </font>
    <font>
      <b/>
      <sz val="12"/>
      <color theme="0"/>
      <name val="Helvetica Neue"/>
      <family val="2"/>
    </font>
    <font>
      <u/>
      <sz val="22"/>
      <color indexed="8"/>
      <name val="Helvetica Neue"/>
      <family val="2"/>
    </font>
    <font>
      <sz val="1"/>
      <color theme="1"/>
      <name val="Helvetica Neue"/>
      <family val="2"/>
    </font>
    <font>
      <sz val="1"/>
      <color theme="2"/>
      <name val="Helvetica Neue"/>
      <family val="2"/>
    </font>
    <font>
      <sz val="1"/>
      <color rgb="FF000000"/>
      <name val="Arial"/>
      <family val="2"/>
    </font>
    <font>
      <b/>
      <u/>
      <sz val="11"/>
      <color theme="0"/>
      <name val="Arial"/>
      <family val="2"/>
    </font>
    <font>
      <b/>
      <u/>
      <sz val="12"/>
      <color theme="0"/>
      <name val="Helvetica Neue"/>
      <family val="2"/>
    </font>
    <font>
      <b/>
      <sz val="12"/>
      <color rgb="FF004C7F"/>
      <name val="Arial"/>
      <family val="2"/>
    </font>
    <font>
      <sz val="11"/>
      <color rgb="FF0070C0"/>
      <name val="Arial"/>
      <family val="2"/>
    </font>
    <font>
      <sz val="11"/>
      <color rgb="FF0070C0"/>
      <name val="Helvetica Neue"/>
      <family val="2"/>
    </font>
    <font>
      <sz val="12"/>
      <color rgb="FF0070C0"/>
      <name val="Helvetica Neue"/>
      <family val="2"/>
    </font>
    <font>
      <sz val="12"/>
      <color rgb="FF0070C0"/>
      <name val="Helvetica"/>
      <family val="2"/>
    </font>
    <font>
      <b/>
      <sz val="11"/>
      <color rgb="FF0070C0"/>
      <name val="Helvetica Neue"/>
      <family val="2"/>
    </font>
    <font>
      <b/>
      <u/>
      <sz val="12"/>
      <color theme="1"/>
      <name val="Arial"/>
      <family val="2"/>
    </font>
    <font>
      <sz val="2"/>
      <color rgb="FF000000"/>
      <name val="Arial"/>
      <family val="2"/>
    </font>
    <font>
      <b/>
      <sz val="16"/>
      <color rgb="FF0070C0"/>
      <name val="Arial"/>
      <family val="2"/>
    </font>
    <font>
      <sz val="16"/>
      <color rgb="FF0070C0"/>
      <name val="Helvetica Neue"/>
      <family val="2"/>
    </font>
    <font>
      <b/>
      <u/>
      <sz val="13"/>
      <color theme="1"/>
      <name val="Helvetica Neue"/>
      <family val="2"/>
    </font>
    <font>
      <b/>
      <sz val="13"/>
      <color indexed="8"/>
      <name val="Arial"/>
      <family val="2"/>
    </font>
    <font>
      <sz val="13"/>
      <color indexed="8"/>
      <name val="Helvetica Neue"/>
      <family val="2"/>
    </font>
    <font>
      <sz val="20"/>
      <color rgb="FF000000"/>
      <name val="Helvetica Neue"/>
      <family val="2"/>
    </font>
    <font>
      <sz val="10"/>
      <color theme="2"/>
      <name val="Arial"/>
      <family val="2"/>
    </font>
    <font>
      <b/>
      <sz val="13"/>
      <color indexed="8"/>
      <name val="Helvetica Neue"/>
      <family val="2"/>
    </font>
    <font>
      <b/>
      <sz val="18"/>
      <color indexed="8"/>
      <name val="Helvetica Neue"/>
      <family val="2"/>
    </font>
    <font>
      <sz val="12"/>
      <color rgb="FF000000"/>
      <name val="Aptos Narrow"/>
    </font>
    <font>
      <b/>
      <sz val="1"/>
      <color theme="1"/>
      <name val="Arial"/>
      <family val="2"/>
    </font>
    <font>
      <sz val="1"/>
      <color theme="1"/>
      <name val="Arial"/>
      <family val="2"/>
    </font>
  </fonts>
  <fills count="32">
    <fill>
      <patternFill patternType="none"/>
    </fill>
    <fill>
      <patternFill patternType="gray125"/>
    </fill>
    <fill>
      <patternFill patternType="solid">
        <fgColor indexed="11"/>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7"/>
        <bgColor auto="1"/>
      </patternFill>
    </fill>
    <fill>
      <patternFill patternType="solid">
        <fgColor indexed="19"/>
        <bgColor auto="1"/>
      </patternFill>
    </fill>
    <fill>
      <patternFill patternType="solid">
        <fgColor indexed="21"/>
        <bgColor auto="1"/>
      </patternFill>
    </fill>
    <fill>
      <patternFill patternType="solid">
        <fgColor indexed="23"/>
        <bgColor auto="1"/>
      </patternFill>
    </fill>
    <fill>
      <patternFill patternType="solid">
        <fgColor indexed="29"/>
        <bgColor auto="1"/>
      </patternFill>
    </fill>
    <fill>
      <patternFill patternType="solid">
        <fgColor rgb="FFCBCECE"/>
        <bgColor indexed="64"/>
      </patternFill>
    </fill>
    <fill>
      <patternFill patternType="solid">
        <fgColor theme="0"/>
        <bgColor indexed="64"/>
      </patternFill>
    </fill>
    <fill>
      <patternFill patternType="solid">
        <fgColor rgb="FF009192"/>
        <bgColor indexed="64"/>
      </patternFill>
    </fill>
    <fill>
      <patternFill patternType="solid">
        <fgColor rgb="FF008F51"/>
        <bgColor indexed="64"/>
      </patternFill>
    </fill>
    <fill>
      <patternFill patternType="solid">
        <fgColor rgb="FFEEF668"/>
        <bgColor indexed="64"/>
      </patternFill>
    </fill>
    <fill>
      <patternFill patternType="solid">
        <fgColor theme="2" tint="-0.249977111117893"/>
        <bgColor indexed="64"/>
      </patternFill>
    </fill>
    <fill>
      <patternFill patternType="solid">
        <fgColor indexed="25"/>
        <bgColor auto="1"/>
      </patternFill>
    </fill>
    <fill>
      <patternFill patternType="solid">
        <fgColor rgb="FFFFEB84"/>
        <bgColor indexed="64"/>
      </patternFill>
    </fill>
    <fill>
      <patternFill patternType="solid">
        <fgColor rgb="FF45A921"/>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0.14999847407452621"/>
        <bgColor indexed="64"/>
      </patternFill>
    </fill>
    <fill>
      <patternFill patternType="solid">
        <fgColor rgb="FF919191"/>
        <bgColor indexed="64"/>
      </patternFill>
    </fill>
    <fill>
      <patternFill patternType="solid">
        <fgColor rgb="FF92D050"/>
        <bgColor indexed="64"/>
      </patternFill>
    </fill>
    <fill>
      <patternFill patternType="solid">
        <fgColor rgb="FFE5E5E5"/>
        <bgColor indexed="64"/>
      </patternFill>
    </fill>
    <fill>
      <patternFill patternType="solid">
        <fgColor rgb="FF3E79A0"/>
        <bgColor indexed="64"/>
      </patternFill>
    </fill>
    <fill>
      <patternFill patternType="solid">
        <fgColor rgb="FFBEC0BF"/>
        <bgColor indexed="64"/>
      </patternFill>
    </fill>
  </fills>
  <borders count="163">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16"/>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diagonal/>
    </border>
    <border>
      <left style="thin">
        <color indexed="9"/>
      </left>
      <right/>
      <top/>
      <bottom/>
      <diagonal/>
    </border>
    <border>
      <left/>
      <right/>
      <top/>
      <bottom/>
      <diagonal/>
    </border>
    <border>
      <left/>
      <right/>
      <top/>
      <bottom style="thin">
        <color indexed="9"/>
      </bottom>
      <diagonal/>
    </border>
    <border>
      <left/>
      <right style="thin">
        <color indexed="9"/>
      </right>
      <top/>
      <bottom style="thin">
        <color indexed="9"/>
      </bottom>
      <diagonal/>
    </border>
    <border>
      <left style="thin">
        <color indexed="9"/>
      </left>
      <right style="thin">
        <color indexed="9"/>
      </right>
      <top style="thin">
        <color indexed="9"/>
      </top>
      <bottom style="thin">
        <color indexed="22"/>
      </bottom>
      <diagonal/>
    </border>
    <border>
      <left style="thin">
        <color indexed="9"/>
      </left>
      <right style="thin">
        <color indexed="9"/>
      </right>
      <top/>
      <bottom style="thin">
        <color indexed="22"/>
      </bottom>
      <diagonal/>
    </border>
    <border>
      <left style="thin">
        <color indexed="9"/>
      </left>
      <right/>
      <top/>
      <bottom style="thin">
        <color indexed="22"/>
      </bottom>
      <diagonal/>
    </border>
    <border>
      <left/>
      <right/>
      <top style="thin">
        <color indexed="9"/>
      </top>
      <bottom/>
      <diagonal/>
    </border>
    <border>
      <left/>
      <right style="thin">
        <color indexed="9"/>
      </right>
      <top style="thin">
        <color indexed="9"/>
      </top>
      <bottom style="thin">
        <color indexed="22"/>
      </bottom>
      <diagonal/>
    </border>
    <border>
      <left style="thin">
        <color indexed="9"/>
      </left>
      <right style="thin">
        <color indexed="9"/>
      </right>
      <top style="thin">
        <color indexed="22"/>
      </top>
      <bottom style="thin">
        <color indexed="22"/>
      </bottom>
      <diagonal/>
    </border>
    <border>
      <left style="thin">
        <color indexed="9"/>
      </left>
      <right style="thin">
        <color indexed="16"/>
      </right>
      <top style="thin">
        <color indexed="9"/>
      </top>
      <bottom style="thin">
        <color indexed="22"/>
      </bottom>
      <diagonal/>
    </border>
    <border>
      <left style="thin">
        <color indexed="9"/>
      </left>
      <right style="thin">
        <color indexed="22"/>
      </right>
      <top style="thin">
        <color indexed="22"/>
      </top>
      <bottom style="thin">
        <color indexed="9"/>
      </bottom>
      <diagonal/>
    </border>
    <border>
      <left style="thin">
        <color indexed="22"/>
      </left>
      <right style="thin">
        <color indexed="9"/>
      </right>
      <top style="thin">
        <color indexed="22"/>
      </top>
      <bottom style="thin">
        <color indexed="9"/>
      </bottom>
      <diagonal/>
    </border>
    <border>
      <left style="thin">
        <color indexed="9"/>
      </left>
      <right style="thin">
        <color indexed="9"/>
      </right>
      <top style="thin">
        <color indexed="22"/>
      </top>
      <bottom style="thin">
        <color indexed="9"/>
      </bottom>
      <diagonal/>
    </border>
    <border>
      <left style="thin">
        <color indexed="9"/>
      </left>
      <right/>
      <top style="thin">
        <color indexed="22"/>
      </top>
      <bottom style="thin">
        <color indexed="9"/>
      </bottom>
      <diagonal/>
    </border>
    <border>
      <left style="thin">
        <color indexed="9"/>
      </left>
      <right style="thin">
        <color indexed="9"/>
      </right>
      <top/>
      <bottom style="thin">
        <color indexed="9"/>
      </bottom>
      <diagonal/>
    </border>
    <border>
      <left style="thin">
        <color indexed="9"/>
      </left>
      <right style="thin">
        <color indexed="16"/>
      </right>
      <top style="thin">
        <color indexed="22"/>
      </top>
      <bottom style="thin">
        <color indexed="9"/>
      </bottom>
      <diagonal/>
    </border>
    <border>
      <left style="thin">
        <color indexed="16"/>
      </left>
      <right style="thin">
        <color indexed="16"/>
      </right>
      <top style="thin">
        <color indexed="22"/>
      </top>
      <bottom style="thin">
        <color indexed="9"/>
      </bottom>
      <diagonal/>
    </border>
    <border>
      <left style="thin">
        <color indexed="9"/>
      </left>
      <right style="thin">
        <color indexed="22"/>
      </right>
      <top style="thin">
        <color indexed="9"/>
      </top>
      <bottom style="thin">
        <color indexed="9"/>
      </bottom>
      <diagonal/>
    </border>
    <border>
      <left style="thin">
        <color indexed="22"/>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25"/>
      </top>
      <bottom style="thin">
        <color indexed="9"/>
      </bottom>
      <diagonal/>
    </border>
    <border>
      <left/>
      <right/>
      <top style="thin">
        <color indexed="9"/>
      </top>
      <bottom style="thin">
        <color indexed="9"/>
      </bottom>
      <diagonal/>
    </border>
    <border>
      <left style="thin">
        <color indexed="9"/>
      </left>
      <right/>
      <top/>
      <bottom style="thin">
        <color indexed="9"/>
      </bottom>
      <diagonal/>
    </border>
    <border>
      <left style="thin">
        <color indexed="9"/>
      </left>
      <right style="thin">
        <color indexed="8"/>
      </right>
      <top style="thin">
        <color indexed="9"/>
      </top>
      <bottom style="thin">
        <color indexed="9"/>
      </bottom>
      <diagonal/>
    </border>
    <border>
      <left style="thin">
        <color indexed="8"/>
      </left>
      <right style="thin">
        <color indexed="8"/>
      </right>
      <top/>
      <bottom/>
      <diagonal/>
    </border>
    <border>
      <left style="thin">
        <color indexed="8"/>
      </left>
      <right style="thin">
        <color indexed="8"/>
      </right>
      <top/>
      <bottom style="thin">
        <color indexed="9"/>
      </bottom>
      <diagonal/>
    </border>
    <border>
      <left style="thin">
        <color indexed="8"/>
      </left>
      <right style="thin">
        <color indexed="9"/>
      </right>
      <top style="thin">
        <color indexed="9"/>
      </top>
      <bottom style="thin">
        <color indexed="9"/>
      </bottom>
      <diagonal/>
    </border>
    <border>
      <left style="thin">
        <color indexed="8"/>
      </left>
      <right style="thin">
        <color indexed="8"/>
      </right>
      <top style="thin">
        <color indexed="9"/>
      </top>
      <bottom style="thin">
        <color indexed="9"/>
      </bottom>
      <diagonal/>
    </border>
    <border>
      <left style="thin">
        <color indexed="9"/>
      </left>
      <right style="thin">
        <color indexed="31"/>
      </right>
      <top style="thin">
        <color indexed="9"/>
      </top>
      <bottom style="thin">
        <color indexed="9"/>
      </bottom>
      <diagonal/>
    </border>
    <border>
      <left style="thin">
        <color indexed="31"/>
      </left>
      <right style="thin">
        <color indexed="32"/>
      </right>
      <top style="thin">
        <color indexed="9"/>
      </top>
      <bottom style="thin">
        <color indexed="9"/>
      </bottom>
      <diagonal/>
    </border>
    <border>
      <left style="thin">
        <color indexed="8"/>
      </left>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style="thin">
        <color indexed="9"/>
      </right>
      <top/>
      <bottom/>
      <diagonal/>
    </border>
    <border>
      <left style="thin">
        <color indexed="9"/>
      </left>
      <right/>
      <top style="thin">
        <color indexed="9"/>
      </top>
      <bottom/>
      <diagonal/>
    </border>
    <border>
      <left/>
      <right style="thin">
        <color indexed="9"/>
      </right>
      <top style="thin">
        <color indexed="9"/>
      </top>
      <bottom/>
      <diagonal/>
    </border>
    <border>
      <left style="thin">
        <color indexed="16"/>
      </left>
      <right style="thin">
        <color indexed="16"/>
      </right>
      <top/>
      <bottom style="thin">
        <color indexed="22"/>
      </bottom>
      <diagonal/>
    </border>
    <border>
      <left style="thin">
        <color indexed="16"/>
      </left>
      <right style="thin">
        <color indexed="16"/>
      </right>
      <top/>
      <bottom/>
      <diagonal/>
    </border>
    <border>
      <left/>
      <right style="thin">
        <color indexed="16"/>
      </right>
      <top/>
      <bottom/>
      <diagonal/>
    </border>
    <border>
      <left style="thin">
        <color indexed="9"/>
      </left>
      <right style="thin">
        <color indexed="24"/>
      </right>
      <top style="thin">
        <color indexed="9"/>
      </top>
      <bottom style="thin">
        <color indexed="9"/>
      </bottom>
      <diagonal/>
    </border>
    <border>
      <left style="thin">
        <color indexed="24"/>
      </left>
      <right/>
      <top style="thin">
        <color indexed="9"/>
      </top>
      <bottom style="thin">
        <color indexed="9"/>
      </bottom>
      <diagonal/>
    </border>
    <border>
      <left style="thin">
        <color indexed="9"/>
      </left>
      <right style="thin">
        <color indexed="9"/>
      </right>
      <top style="thin">
        <color indexed="9"/>
      </top>
      <bottom style="thin">
        <color indexed="20"/>
      </bottom>
      <diagonal/>
    </border>
    <border>
      <left style="thin">
        <color indexed="9"/>
      </left>
      <right style="thin">
        <color indexed="9"/>
      </right>
      <top style="thin">
        <color indexed="20"/>
      </top>
      <bottom style="thin">
        <color indexed="9"/>
      </bottom>
      <diagonal/>
    </border>
    <border>
      <left style="thin">
        <color indexed="8"/>
      </left>
      <right style="thin">
        <color indexed="8"/>
      </right>
      <top style="thin">
        <color indexed="20"/>
      </top>
      <bottom style="thin">
        <color indexed="9"/>
      </bottom>
      <diagonal/>
    </border>
    <border>
      <left style="thin">
        <color indexed="8"/>
      </left>
      <right style="thin">
        <color indexed="9"/>
      </right>
      <top style="thin">
        <color indexed="20"/>
      </top>
      <bottom style="thin">
        <color indexed="9"/>
      </bottom>
      <diagonal/>
    </border>
    <border>
      <left style="thin">
        <color indexed="20"/>
      </left>
      <right style="thin">
        <color indexed="9"/>
      </right>
      <top style="thin">
        <color indexed="9"/>
      </top>
      <bottom style="thin">
        <color indexed="9"/>
      </bottom>
      <diagonal/>
    </border>
    <border>
      <left style="thin">
        <color indexed="28"/>
      </left>
      <right style="thin">
        <color indexed="29"/>
      </right>
      <top style="thin">
        <color indexed="9"/>
      </top>
      <bottom style="thin">
        <color indexed="9"/>
      </bottom>
      <diagonal/>
    </border>
    <border>
      <left style="thin">
        <color indexed="29"/>
      </left>
      <right style="thin">
        <color indexed="9"/>
      </right>
      <top style="thin">
        <color indexed="9"/>
      </top>
      <bottom style="thin">
        <color indexed="9"/>
      </bottom>
      <diagonal/>
    </border>
    <border>
      <left style="thin">
        <color indexed="9"/>
      </left>
      <right style="thin">
        <color indexed="32"/>
      </right>
      <top style="thin">
        <color indexed="9"/>
      </top>
      <bottom style="thin">
        <color indexed="9"/>
      </bottom>
      <diagonal/>
    </border>
    <border>
      <left style="thin">
        <color indexed="32"/>
      </left>
      <right/>
      <top style="thin">
        <color indexed="9"/>
      </top>
      <bottom style="thin">
        <color indexed="9"/>
      </bottom>
      <diagonal/>
    </border>
    <border>
      <left style="thin">
        <color indexed="28"/>
      </left>
      <right style="thin">
        <color indexed="29"/>
      </right>
      <top style="thin">
        <color indexed="9"/>
      </top>
      <bottom/>
      <diagonal/>
    </border>
    <border>
      <left style="thin">
        <color indexed="28"/>
      </left>
      <right style="thin">
        <color indexed="29"/>
      </right>
      <top/>
      <bottom style="thin">
        <color indexed="9"/>
      </bottom>
      <diagonal/>
    </border>
    <border>
      <left style="thin">
        <color indexed="9"/>
      </left>
      <right style="thin">
        <color indexed="9"/>
      </right>
      <top style="thin">
        <color indexed="9"/>
      </top>
      <bottom style="thin">
        <color indexed="64"/>
      </bottom>
      <diagonal/>
    </border>
    <border>
      <left style="thin">
        <color indexed="9"/>
      </left>
      <right style="thin">
        <color indexed="9"/>
      </right>
      <top style="thin">
        <color indexed="64"/>
      </top>
      <bottom style="thin">
        <color indexed="9"/>
      </bottom>
      <diagonal/>
    </border>
    <border>
      <left style="thin">
        <color indexed="9"/>
      </left>
      <right/>
      <top style="thin">
        <color indexed="64"/>
      </top>
      <bottom/>
      <diagonal/>
    </border>
    <border>
      <left/>
      <right style="thin">
        <color indexed="9"/>
      </right>
      <top style="thin">
        <color indexed="64"/>
      </top>
      <bottom/>
      <diagonal/>
    </border>
    <border>
      <left style="thin">
        <color indexed="9"/>
      </left>
      <right style="thin">
        <color indexed="9"/>
      </right>
      <top style="thin">
        <color indexed="64"/>
      </top>
      <bottom/>
      <diagonal/>
    </border>
    <border>
      <left style="thin">
        <color indexed="9"/>
      </left>
      <right style="thin">
        <color indexed="9"/>
      </right>
      <top style="thin">
        <color indexed="64"/>
      </top>
      <bottom style="thin">
        <color indexed="64"/>
      </bottom>
      <diagonal/>
    </border>
    <border>
      <left/>
      <right style="thin">
        <color indexed="9"/>
      </right>
      <top/>
      <bottom style="thin">
        <color indexed="64"/>
      </bottom>
      <diagonal/>
    </border>
    <border>
      <left style="thin">
        <color indexed="9"/>
      </left>
      <right/>
      <top style="thin">
        <color indexed="64"/>
      </top>
      <bottom style="thin">
        <color indexed="64"/>
      </bottom>
      <diagonal/>
    </border>
    <border>
      <left/>
      <right style="thin">
        <color indexed="9"/>
      </right>
      <top style="thin">
        <color indexed="64"/>
      </top>
      <bottom style="thin">
        <color indexed="64"/>
      </bottom>
      <diagonal/>
    </border>
    <border>
      <left style="thin">
        <color indexed="9"/>
      </left>
      <right style="thin">
        <color indexed="22"/>
      </right>
      <top style="thin">
        <color indexed="9"/>
      </top>
      <bottom/>
      <diagonal/>
    </border>
    <border>
      <left style="thin">
        <color indexed="8"/>
      </left>
      <right style="thin">
        <color indexed="8"/>
      </right>
      <top style="thin">
        <color indexed="9"/>
      </top>
      <bottom/>
      <diagonal/>
    </border>
    <border>
      <left style="thin">
        <color indexed="8"/>
      </left>
      <right style="thin">
        <color indexed="9"/>
      </right>
      <top style="thin">
        <color indexed="9"/>
      </top>
      <bottom/>
      <diagonal/>
    </border>
    <border>
      <left style="thin">
        <color indexed="29"/>
      </left>
      <right style="thin">
        <color indexed="9"/>
      </right>
      <top/>
      <bottom style="thin">
        <color indexed="9"/>
      </bottom>
      <diagonal/>
    </border>
    <border>
      <left style="thin">
        <color indexed="9"/>
      </left>
      <right/>
      <top style="thin">
        <color indexed="9"/>
      </top>
      <bottom style="thin">
        <color indexed="22"/>
      </bottom>
      <diagonal/>
    </border>
    <border>
      <left style="thin">
        <color indexed="9"/>
      </left>
      <right style="thin">
        <color indexed="31"/>
      </right>
      <top/>
      <bottom style="thin">
        <color indexed="9"/>
      </bottom>
      <diagonal/>
    </border>
    <border>
      <left style="thin">
        <color indexed="31"/>
      </left>
      <right style="thin">
        <color indexed="32"/>
      </right>
      <top/>
      <bottom style="thin">
        <color indexed="9"/>
      </bottom>
      <diagonal/>
    </border>
    <border>
      <left/>
      <right/>
      <top/>
      <bottom style="thin">
        <color indexed="20"/>
      </bottom>
      <diagonal/>
    </border>
    <border>
      <left/>
      <right style="thin">
        <color indexed="8"/>
      </right>
      <top style="thin">
        <color indexed="9"/>
      </top>
      <bottom/>
      <diagonal/>
    </border>
    <border>
      <left style="thin">
        <color indexed="8"/>
      </left>
      <right style="thin">
        <color indexed="8"/>
      </right>
      <top/>
      <bottom style="thin">
        <color indexed="20"/>
      </bottom>
      <diagonal/>
    </border>
    <border>
      <left style="thin">
        <color indexed="8"/>
      </left>
      <right style="thin">
        <color indexed="9"/>
      </right>
      <top/>
      <bottom style="thin">
        <color indexed="20"/>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right style="thin">
        <color indexed="8"/>
      </right>
      <top style="thin">
        <color indexed="9"/>
      </top>
      <bottom style="thin">
        <color indexed="9"/>
      </bottom>
      <diagonal/>
    </border>
    <border>
      <left style="thin">
        <color indexed="9"/>
      </left>
      <right/>
      <top style="thin">
        <color indexed="20"/>
      </top>
      <bottom style="thin">
        <color indexed="9"/>
      </bottom>
      <diagonal/>
    </border>
    <border>
      <left/>
      <right style="thin">
        <color indexed="8"/>
      </right>
      <top/>
      <bottom style="thin">
        <color indexed="64"/>
      </bottom>
      <diagonal/>
    </border>
    <border>
      <left/>
      <right style="thin">
        <color indexed="8"/>
      </right>
      <top/>
      <bottom style="thin">
        <color indexed="20"/>
      </bottom>
      <diagonal/>
    </border>
    <border>
      <left/>
      <right style="thin">
        <color indexed="8"/>
      </right>
      <top style="thin">
        <color indexed="20"/>
      </top>
      <bottom style="thin">
        <color indexed="9"/>
      </bottom>
      <diagonal/>
    </border>
    <border>
      <left style="thin">
        <color indexed="24"/>
      </left>
      <right/>
      <top/>
      <bottom style="thin">
        <color indexed="9"/>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thin">
        <color indexed="9"/>
      </left>
      <right/>
      <top style="thin">
        <color indexed="9"/>
      </top>
      <bottom style="thin">
        <color indexed="20"/>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thin">
        <color indexed="9"/>
      </bottom>
      <diagonal/>
    </border>
    <border>
      <left/>
      <right style="medium">
        <color indexed="64"/>
      </right>
      <top/>
      <bottom style="thin">
        <color indexed="9"/>
      </bottom>
      <diagonal/>
    </border>
    <border>
      <left style="medium">
        <color indexed="64"/>
      </left>
      <right/>
      <top style="thin">
        <color indexed="9"/>
      </top>
      <bottom/>
      <diagonal/>
    </border>
    <border>
      <left/>
      <right style="medium">
        <color indexed="64"/>
      </right>
      <top style="thin">
        <color indexed="9"/>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9"/>
      </left>
      <right style="thin">
        <color indexed="31"/>
      </right>
      <top style="thin">
        <color indexed="9"/>
      </top>
      <bottom/>
      <diagonal/>
    </border>
    <border>
      <left style="thin">
        <color indexed="31"/>
      </left>
      <right style="thin">
        <color indexed="29"/>
      </right>
      <top style="thin">
        <color indexed="9"/>
      </top>
      <bottom/>
      <diagonal/>
    </border>
    <border>
      <left style="thin">
        <color indexed="31"/>
      </left>
      <right style="thin">
        <color indexed="29"/>
      </right>
      <top/>
      <bottom style="thin">
        <color indexed="9"/>
      </bottom>
      <diagonal/>
    </border>
    <border>
      <left style="thin">
        <color indexed="9"/>
      </left>
      <right/>
      <top style="thin">
        <color indexed="9"/>
      </top>
      <bottom style="thin">
        <color indexed="64"/>
      </bottom>
      <diagonal/>
    </border>
    <border>
      <left/>
      <right/>
      <top style="thin">
        <color indexed="9"/>
      </top>
      <bottom style="thin">
        <color indexed="64"/>
      </bottom>
      <diagonal/>
    </border>
    <border>
      <left/>
      <right style="thin">
        <color indexed="9"/>
      </right>
      <top style="thin">
        <color indexed="9"/>
      </top>
      <bottom style="thin">
        <color indexed="64"/>
      </bottom>
      <diagonal/>
    </border>
    <border>
      <left/>
      <right style="thin">
        <color indexed="64"/>
      </right>
      <top/>
      <bottom style="thin">
        <color indexed="9"/>
      </bottom>
      <diagonal/>
    </border>
    <border>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applyNumberFormat="0" applyFill="0" applyBorder="0" applyProtection="0">
      <alignment vertical="top" wrapText="1"/>
    </xf>
  </cellStyleXfs>
  <cellXfs count="1311">
    <xf numFmtId="0" fontId="0" fillId="0" borderId="0" xfId="0">
      <alignment vertical="top" wrapText="1"/>
    </xf>
    <xf numFmtId="0" fontId="0" fillId="0" borderId="0" xfId="0" applyNumberFormat="1">
      <alignment vertical="top" wrapText="1"/>
    </xf>
    <xf numFmtId="0" fontId="1" fillId="21" borderId="1" xfId="0" applyFont="1" applyFill="1" applyBorder="1">
      <alignment vertical="top" wrapText="1"/>
    </xf>
    <xf numFmtId="0" fontId="1" fillId="3" borderId="1" xfId="0" applyFont="1" applyFill="1" applyBorder="1">
      <alignment vertical="top" wrapText="1"/>
    </xf>
    <xf numFmtId="0" fontId="1" fillId="0" borderId="0" xfId="0" applyNumberFormat="1" applyFont="1">
      <alignment vertical="top" wrapText="1"/>
    </xf>
    <xf numFmtId="49" fontId="28" fillId="22" borderId="1" xfId="0" applyNumberFormat="1" applyFont="1" applyFill="1" applyBorder="1">
      <alignment vertical="top" wrapText="1"/>
    </xf>
    <xf numFmtId="49" fontId="75" fillId="22" borderId="1" xfId="0" applyNumberFormat="1" applyFont="1" applyFill="1" applyBorder="1">
      <alignment vertical="top" wrapText="1"/>
    </xf>
    <xf numFmtId="49" fontId="1" fillId="22" borderId="1" xfId="0" applyNumberFormat="1" applyFont="1" applyFill="1" applyBorder="1" applyAlignment="1">
      <alignment horizontal="left" vertical="top" wrapText="1"/>
    </xf>
    <xf numFmtId="0" fontId="1" fillId="22" borderId="1" xfId="0" applyNumberFormat="1" applyFont="1" applyFill="1" applyBorder="1" applyAlignment="1">
      <alignment horizontal="left" vertical="top" wrapText="1"/>
    </xf>
    <xf numFmtId="49" fontId="28" fillId="22" borderId="1" xfId="0" applyNumberFormat="1" applyFont="1" applyFill="1" applyBorder="1" applyAlignment="1">
      <alignment horizontal="left" vertical="top" wrapText="1"/>
    </xf>
    <xf numFmtId="49" fontId="75" fillId="22" borderId="1" xfId="0" applyNumberFormat="1" applyFont="1" applyFill="1" applyBorder="1" applyAlignment="1">
      <alignment horizontal="left" vertical="top" wrapText="1"/>
    </xf>
    <xf numFmtId="49" fontId="28" fillId="23" borderId="1" xfId="0" applyNumberFormat="1" applyFont="1" applyFill="1" applyBorder="1">
      <alignment vertical="top" wrapText="1"/>
    </xf>
    <xf numFmtId="49" fontId="75" fillId="23" borderId="1" xfId="0" applyNumberFormat="1" applyFont="1" applyFill="1" applyBorder="1">
      <alignment vertical="top" wrapText="1"/>
    </xf>
    <xf numFmtId="49" fontId="1" fillId="23" borderId="1" xfId="0" applyNumberFormat="1" applyFont="1" applyFill="1" applyBorder="1" applyAlignment="1">
      <alignment horizontal="left" vertical="top" wrapText="1"/>
    </xf>
    <xf numFmtId="0" fontId="1" fillId="23" borderId="1" xfId="0" applyNumberFormat="1" applyFont="1" applyFill="1" applyBorder="1" applyAlignment="1">
      <alignment horizontal="left" vertical="top" wrapText="1"/>
    </xf>
    <xf numFmtId="49" fontId="28" fillId="23" borderId="1" xfId="0" applyNumberFormat="1" applyFont="1" applyFill="1" applyBorder="1" applyAlignment="1">
      <alignment horizontal="left" vertical="top" wrapText="1"/>
    </xf>
    <xf numFmtId="49" fontId="75" fillId="23" borderId="1" xfId="0" applyNumberFormat="1" applyFont="1" applyFill="1" applyBorder="1" applyAlignment="1">
      <alignment horizontal="left" vertical="top" wrapText="1"/>
    </xf>
    <xf numFmtId="49" fontId="28" fillId="24" borderId="1" xfId="0" applyNumberFormat="1" applyFont="1" applyFill="1" applyBorder="1">
      <alignment vertical="top" wrapText="1"/>
    </xf>
    <xf numFmtId="49" fontId="75" fillId="24" borderId="1" xfId="0" applyNumberFormat="1" applyFont="1" applyFill="1" applyBorder="1">
      <alignment vertical="top" wrapText="1"/>
    </xf>
    <xf numFmtId="49" fontId="1" fillId="24" borderId="1" xfId="0" applyNumberFormat="1" applyFont="1" applyFill="1" applyBorder="1">
      <alignment vertical="top" wrapText="1"/>
    </xf>
    <xf numFmtId="0" fontId="1" fillId="24" borderId="1" xfId="0" applyNumberFormat="1" applyFont="1" applyFill="1" applyBorder="1" applyAlignment="1">
      <alignment horizontal="left" vertical="top" wrapText="1"/>
    </xf>
    <xf numFmtId="0" fontId="1" fillId="3" borderId="27" xfId="0" applyFont="1" applyFill="1" applyBorder="1">
      <alignment vertical="top" wrapText="1"/>
    </xf>
    <xf numFmtId="49" fontId="1" fillId="0" borderId="1" xfId="0" applyNumberFormat="1" applyFont="1" applyBorder="1">
      <alignment vertical="top" wrapText="1"/>
    </xf>
    <xf numFmtId="171" fontId="1" fillId="0" borderId="1" xfId="0" applyNumberFormat="1" applyFont="1" applyBorder="1">
      <alignment vertical="top" wrapText="1"/>
    </xf>
    <xf numFmtId="0" fontId="1" fillId="0" borderId="55" xfId="0" applyFont="1" applyBorder="1">
      <alignment vertical="top" wrapText="1"/>
    </xf>
    <xf numFmtId="0" fontId="1" fillId="0" borderId="5" xfId="0" applyFont="1" applyBorder="1">
      <alignment vertical="top" wrapText="1"/>
    </xf>
    <xf numFmtId="0" fontId="1" fillId="0" borderId="53" xfId="0" applyFont="1" applyBorder="1">
      <alignment vertical="top" wrapText="1"/>
    </xf>
    <xf numFmtId="0" fontId="1" fillId="0" borderId="29" xfId="0" applyFont="1" applyBorder="1">
      <alignment vertical="top" wrapText="1"/>
    </xf>
    <xf numFmtId="0" fontId="1" fillId="0" borderId="8" xfId="0" applyFont="1" applyBorder="1">
      <alignment vertical="top" wrapText="1"/>
    </xf>
    <xf numFmtId="0" fontId="1" fillId="0" borderId="12" xfId="0" applyFont="1" applyBorder="1">
      <alignment vertical="top" wrapText="1"/>
    </xf>
    <xf numFmtId="171" fontId="1" fillId="0" borderId="72" xfId="0" applyNumberFormat="1" applyFont="1" applyBorder="1">
      <alignment vertical="top" wrapText="1"/>
    </xf>
    <xf numFmtId="49" fontId="1" fillId="0" borderId="76" xfId="0" applyNumberFormat="1" applyFont="1" applyBorder="1" applyAlignment="1">
      <alignment horizontal="right" vertical="top" wrapText="1"/>
    </xf>
    <xf numFmtId="171" fontId="1" fillId="0" borderId="77" xfId="0" applyNumberFormat="1" applyFont="1" applyBorder="1">
      <alignment vertical="top" wrapText="1"/>
    </xf>
    <xf numFmtId="171" fontId="1" fillId="0" borderId="73" xfId="0" applyNumberFormat="1" applyFont="1" applyBorder="1">
      <alignment vertical="top" wrapText="1"/>
    </xf>
    <xf numFmtId="49" fontId="1" fillId="0" borderId="73" xfId="0" applyNumberFormat="1" applyFont="1" applyBorder="1">
      <alignment vertical="top" wrapText="1"/>
    </xf>
    <xf numFmtId="49" fontId="1" fillId="0" borderId="72" xfId="0" applyNumberFormat="1" applyFont="1" applyBorder="1">
      <alignment vertical="top" wrapText="1"/>
    </xf>
    <xf numFmtId="0" fontId="1" fillId="3" borderId="20" xfId="0" applyFont="1" applyFill="1" applyBorder="1">
      <alignment vertical="top" wrapText="1"/>
    </xf>
    <xf numFmtId="0" fontId="0" fillId="13" borderId="6" xfId="0" applyNumberFormat="1" applyFill="1" applyBorder="1">
      <alignment vertical="top" wrapText="1"/>
    </xf>
    <xf numFmtId="49" fontId="6" fillId="13" borderId="6" xfId="0" applyNumberFormat="1" applyFont="1" applyFill="1" applyBorder="1" applyAlignment="1">
      <alignment horizontal="center" vertical="top" wrapText="1"/>
    </xf>
    <xf numFmtId="1" fontId="12" fillId="13" borderId="6" xfId="0" applyNumberFormat="1" applyFont="1" applyFill="1" applyBorder="1">
      <alignment vertical="top" wrapText="1"/>
    </xf>
    <xf numFmtId="0" fontId="12" fillId="13" borderId="6" xfId="0" applyNumberFormat="1" applyFont="1" applyFill="1" applyBorder="1">
      <alignment vertical="top" wrapText="1"/>
    </xf>
    <xf numFmtId="2" fontId="0" fillId="0" borderId="52" xfId="0" applyNumberFormat="1" applyBorder="1">
      <alignment vertical="top" wrapText="1"/>
    </xf>
    <xf numFmtId="0" fontId="94" fillId="0" borderId="44" xfId="0" applyNumberFormat="1" applyFont="1" applyBorder="1" applyProtection="1">
      <alignment vertical="top" wrapText="1"/>
      <protection hidden="1"/>
    </xf>
    <xf numFmtId="0" fontId="94" fillId="0" borderId="6" xfId="0" applyNumberFormat="1" applyFont="1" applyBorder="1" applyProtection="1">
      <alignment vertical="top" wrapText="1"/>
      <protection hidden="1"/>
    </xf>
    <xf numFmtId="0" fontId="94" fillId="0" borderId="50" xfId="0" applyNumberFormat="1" applyFont="1" applyBorder="1" applyProtection="1">
      <alignment vertical="top" wrapText="1"/>
      <protection hidden="1"/>
    </xf>
    <xf numFmtId="0" fontId="0" fillId="0" borderId="0" xfId="0" applyProtection="1">
      <alignment vertical="top" wrapText="1"/>
      <protection hidden="1"/>
    </xf>
    <xf numFmtId="2" fontId="0" fillId="0" borderId="52" xfId="0" applyNumberFormat="1" applyBorder="1" applyProtection="1">
      <alignment vertical="top" wrapText="1"/>
      <protection hidden="1"/>
    </xf>
    <xf numFmtId="0" fontId="6" fillId="2" borderId="1" xfId="0" applyFont="1" applyFill="1" applyBorder="1" applyProtection="1">
      <alignment vertical="top" wrapText="1"/>
      <protection hidden="1"/>
    </xf>
    <xf numFmtId="0" fontId="6" fillId="5" borderId="1" xfId="0" applyFont="1" applyFill="1" applyBorder="1" applyProtection="1">
      <alignment vertical="top" wrapText="1"/>
      <protection hidden="1"/>
    </xf>
    <xf numFmtId="0" fontId="10" fillId="5" borderId="1" xfId="0" applyFont="1" applyFill="1" applyBorder="1" applyProtection="1">
      <alignment vertical="top" wrapText="1"/>
      <protection hidden="1"/>
    </xf>
    <xf numFmtId="49" fontId="69" fillId="6" borderId="1" xfId="0" applyNumberFormat="1" applyFont="1" applyFill="1" applyBorder="1" applyProtection="1">
      <alignment vertical="top" wrapText="1"/>
      <protection locked="0" hidden="1"/>
    </xf>
    <xf numFmtId="2" fontId="0" fillId="26" borderId="52" xfId="0" applyNumberFormat="1" applyFill="1" applyBorder="1" applyProtection="1">
      <alignment vertical="top" wrapText="1"/>
      <protection hidden="1"/>
    </xf>
    <xf numFmtId="49" fontId="6" fillId="4" borderId="1" xfId="0" applyNumberFormat="1" applyFont="1" applyFill="1" applyBorder="1" applyProtection="1">
      <alignment vertical="top" wrapText="1"/>
      <protection hidden="1"/>
    </xf>
    <xf numFmtId="0" fontId="12" fillId="5" borderId="2" xfId="0" applyFont="1" applyFill="1" applyBorder="1" applyProtection="1">
      <alignment vertical="top" wrapText="1"/>
      <protection hidden="1"/>
    </xf>
    <xf numFmtId="0" fontId="6" fillId="2" borderId="57" xfId="0" applyFont="1" applyFill="1" applyBorder="1" applyProtection="1">
      <alignment vertical="top" wrapText="1"/>
      <protection hidden="1"/>
    </xf>
    <xf numFmtId="0" fontId="69" fillId="4" borderId="1" xfId="0" applyNumberFormat="1" applyFont="1" applyFill="1" applyBorder="1" applyProtection="1">
      <alignment vertical="top" wrapText="1"/>
      <protection locked="0" hidden="1"/>
    </xf>
    <xf numFmtId="0" fontId="7" fillId="9" borderId="6" xfId="0" applyFont="1" applyFill="1" applyBorder="1" applyProtection="1">
      <alignment vertical="top" wrapText="1"/>
      <protection hidden="1"/>
    </xf>
    <xf numFmtId="0" fontId="10" fillId="3" borderId="9" xfId="0" applyFont="1" applyFill="1" applyBorder="1" applyProtection="1">
      <alignment vertical="top" wrapText="1"/>
      <protection hidden="1"/>
    </xf>
    <xf numFmtId="0" fontId="10" fillId="6" borderId="9" xfId="0" applyFont="1" applyFill="1" applyBorder="1" applyProtection="1">
      <alignment vertical="top" wrapText="1"/>
      <protection hidden="1"/>
    </xf>
    <xf numFmtId="0" fontId="10" fillId="4" borderId="9" xfId="0" applyFont="1" applyFill="1" applyBorder="1" applyProtection="1">
      <alignment vertical="top" wrapText="1"/>
      <protection hidden="1"/>
    </xf>
    <xf numFmtId="0" fontId="10" fillId="3" borderId="1" xfId="0" applyNumberFormat="1" applyFont="1" applyFill="1" applyBorder="1" applyProtection="1">
      <alignment vertical="top" wrapText="1"/>
      <protection hidden="1"/>
    </xf>
    <xf numFmtId="49" fontId="7" fillId="2" borderId="1" xfId="0" applyNumberFormat="1" applyFont="1" applyFill="1" applyBorder="1" applyProtection="1">
      <alignment vertical="top" wrapText="1"/>
      <protection hidden="1"/>
    </xf>
    <xf numFmtId="49" fontId="6" fillId="2" borderId="9" xfId="0" applyNumberFormat="1" applyFont="1" applyFill="1" applyBorder="1" applyAlignment="1" applyProtection="1">
      <alignment horizontal="center" vertical="top" wrapText="1"/>
      <protection hidden="1"/>
    </xf>
    <xf numFmtId="49" fontId="12" fillId="2" borderId="9" xfId="0" applyNumberFormat="1" applyFont="1" applyFill="1" applyBorder="1" applyProtection="1">
      <alignment vertical="top" wrapText="1"/>
      <protection hidden="1"/>
    </xf>
    <xf numFmtId="0" fontId="6" fillId="5" borderId="9" xfId="0" applyFont="1" applyFill="1" applyBorder="1" applyProtection="1">
      <alignment vertical="top" wrapText="1"/>
      <protection hidden="1"/>
    </xf>
    <xf numFmtId="0" fontId="10" fillId="3" borderId="14" xfId="0" applyFont="1" applyFill="1" applyBorder="1" applyProtection="1">
      <alignment vertical="top" wrapText="1"/>
      <protection hidden="1"/>
    </xf>
    <xf numFmtId="0" fontId="10" fillId="6" borderId="14" xfId="0" applyFont="1" applyFill="1" applyBorder="1" applyProtection="1">
      <alignment vertical="top" wrapText="1"/>
      <protection hidden="1"/>
    </xf>
    <xf numFmtId="0" fontId="10" fillId="4" borderId="14" xfId="0" applyFont="1" applyFill="1" applyBorder="1" applyProtection="1">
      <alignment vertical="top" wrapText="1"/>
      <protection hidden="1"/>
    </xf>
    <xf numFmtId="0" fontId="10" fillId="3" borderId="9" xfId="0" applyNumberFormat="1" applyFont="1" applyFill="1" applyBorder="1" applyProtection="1">
      <alignment vertical="top" wrapText="1"/>
      <protection hidden="1"/>
    </xf>
    <xf numFmtId="49" fontId="7" fillId="3" borderId="9" xfId="0" applyNumberFormat="1" applyFont="1" applyFill="1" applyBorder="1" applyProtection="1">
      <alignment vertical="top" wrapText="1"/>
      <protection hidden="1"/>
    </xf>
    <xf numFmtId="0" fontId="12" fillId="5" borderId="15" xfId="0" applyFont="1" applyFill="1" applyBorder="1" applyProtection="1">
      <alignment vertical="top" wrapText="1"/>
      <protection hidden="1"/>
    </xf>
    <xf numFmtId="0" fontId="6" fillId="2" borderId="56" xfId="0" applyFont="1" applyFill="1" applyBorder="1" applyProtection="1">
      <alignment vertical="top" wrapText="1"/>
      <protection hidden="1"/>
    </xf>
    <xf numFmtId="171" fontId="7" fillId="13" borderId="40" xfId="0" applyNumberFormat="1" applyFont="1" applyFill="1" applyBorder="1" applyProtection="1">
      <alignment vertical="top" wrapText="1"/>
      <protection hidden="1"/>
    </xf>
    <xf numFmtId="0" fontId="12" fillId="10" borderId="16" xfId="0" applyNumberFormat="1" applyFont="1" applyFill="1" applyBorder="1" applyProtection="1">
      <alignment vertical="top" wrapText="1"/>
      <protection hidden="1"/>
    </xf>
    <xf numFmtId="0" fontId="92" fillId="3" borderId="18" xfId="0" applyNumberFormat="1" applyFont="1" applyFill="1" applyBorder="1" applyProtection="1">
      <alignment vertical="top" wrapText="1"/>
      <protection hidden="1"/>
    </xf>
    <xf numFmtId="49" fontId="88" fillId="0" borderId="19" xfId="0" applyNumberFormat="1" applyFont="1" applyBorder="1" applyAlignment="1" applyProtection="1">
      <alignment horizontal="left" vertical="top" wrapText="1" readingOrder="1"/>
      <protection locked="0" hidden="1"/>
    </xf>
    <xf numFmtId="166" fontId="12" fillId="16" borderId="18" xfId="0" applyNumberFormat="1" applyFont="1" applyFill="1" applyBorder="1" applyProtection="1">
      <alignment vertical="top" wrapText="1"/>
      <protection hidden="1"/>
    </xf>
    <xf numFmtId="0" fontId="12" fillId="15" borderId="20" xfId="0" applyNumberFormat="1" applyFont="1" applyFill="1" applyBorder="1" applyProtection="1">
      <alignment vertical="top" wrapText="1"/>
      <protection hidden="1"/>
    </xf>
    <xf numFmtId="0" fontId="51" fillId="14" borderId="18" xfId="0" applyNumberFormat="1" applyFont="1" applyFill="1" applyBorder="1" applyProtection="1">
      <alignment vertical="top" wrapText="1"/>
      <protection hidden="1"/>
    </xf>
    <xf numFmtId="0" fontId="10" fillId="3" borderId="18" xfId="0" applyNumberFormat="1" applyFont="1" applyFill="1" applyBorder="1" applyProtection="1">
      <alignment vertical="top" wrapText="1"/>
      <protection hidden="1"/>
    </xf>
    <xf numFmtId="0" fontId="10" fillId="6" borderId="18" xfId="0" applyNumberFormat="1" applyFont="1" applyFill="1" applyBorder="1" applyProtection="1">
      <alignment vertical="top" wrapText="1"/>
      <protection hidden="1"/>
    </xf>
    <xf numFmtId="0" fontId="10" fillId="4" borderId="18" xfId="0" applyNumberFormat="1" applyFont="1" applyFill="1" applyBorder="1" applyProtection="1">
      <alignment vertical="top" wrapText="1"/>
      <protection hidden="1"/>
    </xf>
    <xf numFmtId="0" fontId="12" fillId="0" borderId="18" xfId="0" applyNumberFormat="1" applyFont="1" applyBorder="1" applyProtection="1">
      <alignment vertical="top" wrapText="1"/>
      <protection hidden="1"/>
    </xf>
    <xf numFmtId="49" fontId="15" fillId="0" borderId="18" xfId="0" applyNumberFormat="1" applyFont="1" applyBorder="1" applyProtection="1">
      <alignment vertical="top" wrapText="1"/>
      <protection hidden="1"/>
    </xf>
    <xf numFmtId="165" fontId="51" fillId="3" borderId="1" xfId="0" applyNumberFormat="1" applyFont="1" applyFill="1" applyBorder="1" applyProtection="1">
      <alignment vertical="top" wrapText="1"/>
      <protection hidden="1"/>
    </xf>
    <xf numFmtId="0" fontId="68" fillId="7" borderId="22" xfId="0" applyNumberFormat="1" applyFont="1" applyFill="1" applyBorder="1" applyProtection="1">
      <alignment vertical="top" wrapText="1"/>
      <protection locked="0" hidden="1"/>
    </xf>
    <xf numFmtId="171" fontId="6" fillId="0" borderId="38" xfId="0" applyNumberFormat="1" applyFont="1" applyBorder="1" applyProtection="1">
      <alignment vertical="top" wrapText="1"/>
      <protection hidden="1"/>
    </xf>
    <xf numFmtId="0" fontId="12" fillId="10" borderId="23" xfId="0" applyNumberFormat="1" applyFont="1" applyFill="1" applyBorder="1" applyProtection="1">
      <alignment vertical="top" wrapText="1"/>
      <protection hidden="1"/>
    </xf>
    <xf numFmtId="49" fontId="88" fillId="0" borderId="25" xfId="0" applyNumberFormat="1" applyFont="1" applyBorder="1" applyAlignment="1" applyProtection="1">
      <alignment horizontal="left" vertical="top" wrapText="1" readingOrder="1"/>
      <protection locked="0" hidden="1"/>
    </xf>
    <xf numFmtId="166" fontId="12" fillId="16" borderId="1" xfId="0" applyNumberFormat="1" applyFont="1" applyFill="1" applyBorder="1" applyProtection="1">
      <alignment vertical="top" wrapText="1"/>
      <protection hidden="1"/>
    </xf>
    <xf numFmtId="0" fontId="12" fillId="15" borderId="1" xfId="0" applyNumberFormat="1" applyFont="1" applyFill="1" applyBorder="1" applyProtection="1">
      <alignment vertical="top" wrapText="1"/>
      <protection hidden="1"/>
    </xf>
    <xf numFmtId="0" fontId="51" fillId="14" borderId="1" xfId="0" applyNumberFormat="1" applyFont="1" applyFill="1" applyBorder="1" applyProtection="1">
      <alignment vertical="top" wrapText="1"/>
      <protection hidden="1"/>
    </xf>
    <xf numFmtId="0" fontId="10" fillId="6" borderId="1" xfId="0" applyNumberFormat="1" applyFont="1" applyFill="1" applyBorder="1" applyProtection="1">
      <alignment vertical="top" wrapText="1"/>
      <protection hidden="1"/>
    </xf>
    <xf numFmtId="0" fontId="10" fillId="4" borderId="1" xfId="0" applyNumberFormat="1" applyFont="1" applyFill="1" applyBorder="1" applyProtection="1">
      <alignment vertical="top" wrapText="1"/>
      <protection hidden="1"/>
    </xf>
    <xf numFmtId="0" fontId="12" fillId="0" borderId="1" xfId="0" applyNumberFormat="1" applyFont="1" applyBorder="1" applyProtection="1">
      <alignment vertical="top" wrapText="1"/>
      <protection hidden="1"/>
    </xf>
    <xf numFmtId="49" fontId="15" fillId="0" borderId="1" xfId="0" applyNumberFormat="1" applyFont="1" applyBorder="1" applyProtection="1">
      <alignment vertical="top" wrapText="1"/>
      <protection hidden="1"/>
    </xf>
    <xf numFmtId="0" fontId="12" fillId="10" borderId="81" xfId="0" applyNumberFormat="1" applyFont="1" applyFill="1" applyBorder="1" applyProtection="1">
      <alignment vertical="top" wrapText="1"/>
      <protection hidden="1"/>
    </xf>
    <xf numFmtId="166" fontId="12" fillId="16" borderId="3" xfId="0" applyNumberFormat="1" applyFont="1" applyFill="1" applyBorder="1" applyProtection="1">
      <alignment vertical="top" wrapText="1"/>
      <protection hidden="1"/>
    </xf>
    <xf numFmtId="0" fontId="12" fillId="15" borderId="3" xfId="0" applyNumberFormat="1" applyFont="1" applyFill="1" applyBorder="1" applyProtection="1">
      <alignment vertical="top" wrapText="1"/>
      <protection hidden="1"/>
    </xf>
    <xf numFmtId="0" fontId="51" fillId="14" borderId="3" xfId="0" applyNumberFormat="1" applyFont="1" applyFill="1" applyBorder="1" applyProtection="1">
      <alignment vertical="top" wrapText="1"/>
      <protection hidden="1"/>
    </xf>
    <xf numFmtId="0" fontId="10" fillId="3" borderId="3" xfId="0" applyNumberFormat="1" applyFont="1" applyFill="1" applyBorder="1" applyProtection="1">
      <alignment vertical="top" wrapText="1"/>
      <protection hidden="1"/>
    </xf>
    <xf numFmtId="0" fontId="10" fillId="6" borderId="3" xfId="0" applyNumberFormat="1" applyFont="1" applyFill="1" applyBorder="1" applyProtection="1">
      <alignment vertical="top" wrapText="1"/>
      <protection hidden="1"/>
    </xf>
    <xf numFmtId="0" fontId="10" fillId="4" borderId="3" xfId="0" applyNumberFormat="1" applyFont="1" applyFill="1" applyBorder="1" applyProtection="1">
      <alignment vertical="top" wrapText="1"/>
      <protection hidden="1"/>
    </xf>
    <xf numFmtId="0" fontId="12" fillId="0" borderId="3" xfId="0" applyNumberFormat="1" applyFont="1" applyBorder="1" applyProtection="1">
      <alignment vertical="top" wrapText="1"/>
      <protection hidden="1"/>
    </xf>
    <xf numFmtId="49" fontId="15" fillId="0" borderId="3" xfId="0" applyNumberFormat="1" applyFont="1" applyBorder="1" applyProtection="1">
      <alignment vertical="top" wrapText="1"/>
      <protection hidden="1"/>
    </xf>
    <xf numFmtId="0" fontId="0" fillId="0" borderId="42" xfId="0" applyNumberFormat="1" applyBorder="1" applyProtection="1">
      <alignment vertical="top" wrapText="1"/>
      <protection hidden="1"/>
    </xf>
    <xf numFmtId="0" fontId="0" fillId="0" borderId="43" xfId="0" applyNumberFormat="1" applyBorder="1" applyProtection="1">
      <alignment vertical="top" wrapText="1"/>
      <protection hidden="1"/>
    </xf>
    <xf numFmtId="0" fontId="81" fillId="0" borderId="43" xfId="0" applyNumberFormat="1" applyFont="1" applyBorder="1" applyProtection="1">
      <alignment vertical="top" wrapText="1"/>
      <protection hidden="1"/>
    </xf>
    <xf numFmtId="2" fontId="0" fillId="0" borderId="41" xfId="0" applyNumberFormat="1" applyBorder="1" applyProtection="1">
      <alignment vertical="top" wrapText="1"/>
      <protection hidden="1"/>
    </xf>
    <xf numFmtId="0" fontId="77" fillId="25" borderId="38" xfId="0" applyNumberFormat="1" applyFont="1" applyFill="1" applyBorder="1" applyProtection="1">
      <alignment vertical="top" wrapText="1"/>
      <protection hidden="1"/>
    </xf>
    <xf numFmtId="0" fontId="0" fillId="0" borderId="6" xfId="0" applyNumberFormat="1" applyBorder="1" applyProtection="1">
      <alignment vertical="top" wrapText="1"/>
      <protection hidden="1"/>
    </xf>
    <xf numFmtId="0" fontId="81" fillId="10" borderId="42" xfId="0" applyNumberFormat="1" applyFont="1" applyFill="1" applyBorder="1" applyProtection="1">
      <alignment vertical="top" wrapText="1"/>
      <protection hidden="1"/>
    </xf>
    <xf numFmtId="49" fontId="88" fillId="0" borderId="38" xfId="0" applyNumberFormat="1" applyFont="1" applyBorder="1" applyAlignment="1" applyProtection="1">
      <alignment horizontal="left" vertical="top" wrapText="1" readingOrder="1"/>
      <protection locked="0" hidden="1"/>
    </xf>
    <xf numFmtId="0" fontId="0" fillId="0" borderId="0" xfId="0" applyNumberFormat="1" applyProtection="1">
      <alignment vertical="top" wrapText="1"/>
      <protection hidden="1"/>
    </xf>
    <xf numFmtId="49" fontId="89" fillId="0" borderId="38" xfId="0" applyNumberFormat="1" applyFont="1" applyBorder="1" applyAlignment="1" applyProtection="1">
      <alignment horizontal="left" vertical="top" wrapText="1" readingOrder="1"/>
      <protection locked="0" hidden="1"/>
    </xf>
    <xf numFmtId="0" fontId="81" fillId="10" borderId="49" xfId="0" applyNumberFormat="1" applyFont="1" applyFill="1" applyBorder="1" applyProtection="1">
      <alignment vertical="top" wrapText="1"/>
      <protection hidden="1"/>
    </xf>
    <xf numFmtId="167" fontId="17" fillId="4" borderId="48" xfId="0" applyNumberFormat="1" applyFont="1" applyFill="1" applyBorder="1" applyAlignment="1" applyProtection="1">
      <alignment horizontal="left" vertical="center" wrapText="1" readingOrder="1"/>
      <protection hidden="1"/>
    </xf>
    <xf numFmtId="167" fontId="17" fillId="4" borderId="45" xfId="0" applyNumberFormat="1" applyFont="1" applyFill="1" applyBorder="1" applyAlignment="1" applyProtection="1">
      <alignment horizontal="left" vertical="center" wrapText="1" readingOrder="1"/>
      <protection hidden="1"/>
    </xf>
    <xf numFmtId="0" fontId="56" fillId="0" borderId="42" xfId="0" applyFont="1" applyBorder="1" applyProtection="1">
      <alignment vertical="top" wrapText="1"/>
      <protection hidden="1"/>
    </xf>
    <xf numFmtId="0" fontId="0" fillId="0" borderId="41" xfId="0" applyBorder="1" applyProtection="1">
      <alignment vertical="top" wrapText="1"/>
      <protection hidden="1"/>
    </xf>
    <xf numFmtId="0" fontId="0" fillId="0" borderId="38" xfId="0" applyBorder="1" applyProtection="1">
      <alignment vertical="top" wrapText="1"/>
      <protection hidden="1"/>
    </xf>
    <xf numFmtId="0" fontId="21" fillId="0" borderId="44" xfId="0" applyFont="1" applyBorder="1" applyProtection="1">
      <alignment vertical="top" wrapText="1"/>
      <protection hidden="1"/>
    </xf>
    <xf numFmtId="49" fontId="21" fillId="4" borderId="38" xfId="0" applyNumberFormat="1" applyFont="1" applyFill="1" applyBorder="1" applyAlignment="1" applyProtection="1">
      <alignment horizontal="right" vertical="top" wrapText="1"/>
      <protection hidden="1"/>
    </xf>
    <xf numFmtId="0" fontId="21" fillId="0" borderId="6" xfId="0" applyFont="1" applyBorder="1" applyProtection="1">
      <alignment vertical="top" wrapText="1"/>
      <protection hidden="1"/>
    </xf>
    <xf numFmtId="0" fontId="45" fillId="0" borderId="41" xfId="0" applyFont="1" applyBorder="1" applyProtection="1">
      <alignment vertical="top" wrapText="1"/>
      <protection hidden="1"/>
    </xf>
    <xf numFmtId="0" fontId="61" fillId="0" borderId="38" xfId="0" applyNumberFormat="1" applyFont="1" applyBorder="1" applyProtection="1">
      <alignment vertical="top" wrapText="1"/>
      <protection hidden="1"/>
    </xf>
    <xf numFmtId="0" fontId="55" fillId="4" borderId="49" xfId="0" applyNumberFormat="1" applyFont="1" applyFill="1" applyBorder="1" applyProtection="1">
      <alignment vertical="top" wrapText="1"/>
      <protection hidden="1"/>
    </xf>
    <xf numFmtId="171" fontId="50" fillId="0" borderId="38" xfId="0" applyNumberFormat="1" applyFont="1" applyBorder="1" applyProtection="1">
      <alignment vertical="top" wrapText="1"/>
      <protection hidden="1"/>
    </xf>
    <xf numFmtId="0" fontId="56" fillId="0" borderId="41" xfId="0" applyNumberFormat="1" applyFont="1" applyBorder="1" applyProtection="1">
      <alignment vertical="top" wrapText="1"/>
      <protection hidden="1"/>
    </xf>
    <xf numFmtId="0" fontId="55" fillId="4" borderId="40" xfId="0" applyNumberFormat="1" applyFont="1" applyFill="1" applyBorder="1" applyProtection="1">
      <alignment vertical="top" wrapText="1"/>
      <protection hidden="1"/>
    </xf>
    <xf numFmtId="171" fontId="50" fillId="13" borderId="38" xfId="0" applyNumberFormat="1" applyFont="1" applyFill="1" applyBorder="1" applyAlignment="1" applyProtection="1">
      <alignment horizontal="right" vertical="top" wrapText="1"/>
      <protection hidden="1"/>
    </xf>
    <xf numFmtId="0" fontId="56" fillId="0" borderId="38" xfId="0" applyNumberFormat="1" applyFont="1" applyBorder="1" applyProtection="1">
      <alignment vertical="top" wrapText="1"/>
      <protection hidden="1"/>
    </xf>
    <xf numFmtId="0" fontId="55" fillId="4" borderId="49" xfId="0" applyFont="1" applyFill="1" applyBorder="1" applyProtection="1">
      <alignment vertical="top" wrapText="1"/>
      <protection hidden="1"/>
    </xf>
    <xf numFmtId="2" fontId="48" fillId="13" borderId="38" xfId="0" applyNumberFormat="1" applyFont="1" applyFill="1" applyBorder="1" applyAlignment="1" applyProtection="1">
      <alignment horizontal="left" vertical="top" wrapText="1" readingOrder="1"/>
      <protection hidden="1"/>
    </xf>
    <xf numFmtId="0" fontId="45" fillId="0" borderId="38" xfId="0" applyFont="1" applyBorder="1" applyProtection="1">
      <alignment vertical="top" wrapText="1"/>
      <protection hidden="1"/>
    </xf>
    <xf numFmtId="0" fontId="56" fillId="4" borderId="49" xfId="0" applyFont="1" applyFill="1" applyBorder="1" applyProtection="1">
      <alignment vertical="top" wrapText="1"/>
      <protection hidden="1"/>
    </xf>
    <xf numFmtId="0" fontId="55" fillId="4" borderId="43" xfId="0" applyNumberFormat="1" applyFont="1" applyFill="1" applyBorder="1" applyProtection="1">
      <alignment vertical="top" wrapText="1"/>
      <protection hidden="1"/>
    </xf>
    <xf numFmtId="171" fontId="52" fillId="13" borderId="38" xfId="0" applyNumberFormat="1" applyFont="1" applyFill="1" applyBorder="1" applyAlignment="1" applyProtection="1">
      <alignment horizontal="right" vertical="top" wrapText="1"/>
      <protection hidden="1"/>
    </xf>
    <xf numFmtId="0" fontId="47" fillId="0" borderId="49" xfId="0" applyFont="1" applyBorder="1" applyProtection="1">
      <alignment vertical="top" wrapText="1"/>
      <protection hidden="1"/>
    </xf>
    <xf numFmtId="0" fontId="57" fillId="0" borderId="41" xfId="0" applyNumberFormat="1" applyFont="1" applyBorder="1" applyProtection="1">
      <alignment vertical="top" wrapText="1"/>
      <protection hidden="1"/>
    </xf>
    <xf numFmtId="0" fontId="46" fillId="4" borderId="43" xfId="0" applyFont="1" applyFill="1" applyBorder="1" applyAlignment="1" applyProtection="1">
      <alignment horizontal="left" vertical="top" wrapText="1" readingOrder="1"/>
      <protection hidden="1"/>
    </xf>
    <xf numFmtId="2" fontId="54" fillId="0" borderId="41" xfId="0" applyNumberFormat="1" applyFont="1" applyBorder="1" applyProtection="1">
      <alignment vertical="top" wrapText="1"/>
      <protection hidden="1"/>
    </xf>
    <xf numFmtId="0" fontId="50" fillId="0" borderId="48" xfId="0" applyFont="1" applyBorder="1" applyAlignment="1" applyProtection="1">
      <alignment horizontal="left" vertical="top" wrapText="1" readingOrder="1"/>
      <protection hidden="1"/>
    </xf>
    <xf numFmtId="0" fontId="47" fillId="0" borderId="45" xfId="0" applyFont="1" applyBorder="1" applyProtection="1">
      <alignment vertical="top" wrapText="1"/>
      <protection hidden="1"/>
    </xf>
    <xf numFmtId="0" fontId="20" fillId="0" borderId="42" xfId="0" applyFont="1" applyBorder="1" applyProtection="1">
      <alignment vertical="top" wrapText="1"/>
      <protection hidden="1"/>
    </xf>
    <xf numFmtId="49" fontId="21" fillId="0" borderId="38" xfId="0" applyNumberFormat="1" applyFont="1" applyBorder="1" applyAlignment="1" applyProtection="1">
      <alignment horizontal="right" vertical="top" wrapText="1"/>
      <protection hidden="1"/>
    </xf>
    <xf numFmtId="49" fontId="16" fillId="12" borderId="41" xfId="0" applyNumberFormat="1" applyFont="1" applyFill="1" applyBorder="1" applyAlignment="1" applyProtection="1">
      <alignment horizontal="left" vertical="top" wrapText="1" readingOrder="1"/>
      <protection hidden="1"/>
    </xf>
    <xf numFmtId="0" fontId="55" fillId="13" borderId="6" xfId="0" applyNumberFormat="1" applyFont="1" applyFill="1" applyBorder="1" applyProtection="1">
      <alignment vertical="top" wrapText="1"/>
      <protection hidden="1"/>
    </xf>
    <xf numFmtId="0" fontId="18" fillId="0" borderId="39" xfId="0" applyNumberFormat="1" applyFont="1" applyBorder="1" applyAlignment="1" applyProtection="1">
      <alignment horizontal="center" vertical="top" wrapText="1"/>
      <protection hidden="1"/>
    </xf>
    <xf numFmtId="2" fontId="55" fillId="4" borderId="40" xfId="0" applyNumberFormat="1" applyFont="1" applyFill="1" applyBorder="1" applyProtection="1">
      <alignment vertical="top" wrapText="1"/>
      <protection hidden="1"/>
    </xf>
    <xf numFmtId="0" fontId="18" fillId="0" borderId="39" xfId="0" applyNumberFormat="1" applyFont="1" applyBorder="1" applyAlignment="1" applyProtection="1">
      <alignment horizontal="center" vertical="top" wrapText="1" readingOrder="1"/>
      <protection hidden="1"/>
    </xf>
    <xf numFmtId="0" fontId="56" fillId="4" borderId="49" xfId="0" applyNumberFormat="1" applyFont="1" applyFill="1" applyBorder="1" applyProtection="1">
      <alignment vertical="top" wrapText="1"/>
      <protection hidden="1"/>
    </xf>
    <xf numFmtId="0" fontId="16" fillId="0" borderId="38" xfId="0" applyFont="1" applyBorder="1" applyProtection="1">
      <alignment vertical="top" wrapText="1"/>
      <protection hidden="1"/>
    </xf>
    <xf numFmtId="2" fontId="55" fillId="4" borderId="43" xfId="0" applyNumberFormat="1" applyFont="1" applyFill="1" applyBorder="1" applyProtection="1">
      <alignment vertical="top" wrapText="1"/>
      <protection hidden="1"/>
    </xf>
    <xf numFmtId="0" fontId="57" fillId="0" borderId="6" xfId="0" applyFont="1" applyBorder="1" applyProtection="1">
      <alignment vertical="top" wrapText="1"/>
      <protection hidden="1"/>
    </xf>
    <xf numFmtId="0" fontId="55" fillId="0" borderId="6" xfId="0" applyFont="1" applyBorder="1" applyProtection="1">
      <alignment vertical="top" wrapText="1"/>
      <protection hidden="1"/>
    </xf>
    <xf numFmtId="0" fontId="55" fillId="0" borderId="44" xfId="0" applyFont="1" applyBorder="1" applyProtection="1">
      <alignment vertical="top" wrapText="1"/>
      <protection hidden="1"/>
    </xf>
    <xf numFmtId="0" fontId="58" fillId="0" borderId="44" xfId="0" applyNumberFormat="1" applyFont="1" applyBorder="1" applyProtection="1">
      <alignment vertical="top" wrapText="1"/>
      <protection hidden="1"/>
    </xf>
    <xf numFmtId="0" fontId="55" fillId="0" borderId="44" xfId="0" applyNumberFormat="1" applyFont="1" applyBorder="1" applyProtection="1">
      <alignment vertical="top" wrapText="1"/>
      <protection hidden="1"/>
    </xf>
    <xf numFmtId="0" fontId="61" fillId="0" borderId="44" xfId="0" applyFont="1" applyBorder="1" applyProtection="1">
      <alignment vertical="top" wrapText="1"/>
      <protection hidden="1"/>
    </xf>
    <xf numFmtId="167" fontId="65" fillId="0" borderId="6" xfId="0" applyNumberFormat="1" applyFont="1" applyBorder="1" applyProtection="1">
      <alignment vertical="top" wrapText="1"/>
      <protection hidden="1"/>
    </xf>
    <xf numFmtId="0" fontId="58" fillId="0" borderId="6" xfId="0" applyFont="1" applyBorder="1" applyProtection="1">
      <alignment vertical="top" wrapText="1"/>
      <protection hidden="1"/>
    </xf>
    <xf numFmtId="0" fontId="58" fillId="0" borderId="6" xfId="0" applyNumberFormat="1" applyFont="1" applyBorder="1" applyProtection="1">
      <alignment vertical="top" wrapText="1"/>
      <protection hidden="1"/>
    </xf>
    <xf numFmtId="49" fontId="6" fillId="3" borderId="1" xfId="0" applyNumberFormat="1" applyFont="1" applyFill="1" applyBorder="1" applyAlignment="1" applyProtection="1">
      <alignment horizontal="center" vertical="top" wrapText="1"/>
      <protection hidden="1"/>
    </xf>
    <xf numFmtId="49" fontId="6" fillId="3" borderId="31" xfId="0" applyNumberFormat="1" applyFont="1" applyFill="1" applyBorder="1" applyAlignment="1" applyProtection="1">
      <alignment horizontal="center" vertical="top" wrapText="1"/>
      <protection hidden="1"/>
    </xf>
    <xf numFmtId="49" fontId="6" fillId="3" borderId="32" xfId="0" applyNumberFormat="1" applyFont="1" applyFill="1" applyBorder="1" applyAlignment="1" applyProtection="1">
      <alignment horizontal="center" vertical="top" wrapText="1"/>
      <protection hidden="1"/>
    </xf>
    <xf numFmtId="49" fontId="6" fillId="3" borderId="33" xfId="0" applyNumberFormat="1" applyFont="1" applyFill="1" applyBorder="1" applyAlignment="1" applyProtection="1">
      <alignment horizontal="center" vertical="top" wrapText="1"/>
      <protection hidden="1"/>
    </xf>
    <xf numFmtId="0" fontId="6" fillId="17" borderId="1" xfId="0" applyFont="1" applyFill="1" applyBorder="1" applyProtection="1">
      <alignment vertical="top" wrapText="1"/>
      <protection hidden="1"/>
    </xf>
    <xf numFmtId="0" fontId="31" fillId="2" borderId="1" xfId="0" applyFont="1" applyFill="1" applyBorder="1" applyProtection="1">
      <alignment vertical="top" wrapText="1"/>
      <protection hidden="1"/>
    </xf>
    <xf numFmtId="169" fontId="7" fillId="20" borderId="1" xfId="0" applyNumberFormat="1" applyFont="1" applyFill="1" applyBorder="1" applyProtection="1">
      <alignment vertical="top" wrapText="1"/>
      <protection hidden="1"/>
    </xf>
    <xf numFmtId="165" fontId="6" fillId="18" borderId="1" xfId="0" applyNumberFormat="1" applyFont="1" applyFill="1" applyBorder="1" applyProtection="1">
      <alignment vertical="top" wrapText="1"/>
      <protection hidden="1"/>
    </xf>
    <xf numFmtId="0" fontId="6" fillId="18" borderId="1" xfId="0" applyFont="1" applyFill="1" applyBorder="1" applyProtection="1">
      <alignment vertical="top" wrapText="1"/>
      <protection hidden="1"/>
    </xf>
    <xf numFmtId="165" fontId="6" fillId="2" borderId="1" xfId="0" applyNumberFormat="1" applyFont="1" applyFill="1" applyBorder="1" applyProtection="1">
      <alignment vertical="top" wrapText="1"/>
      <protection hidden="1"/>
    </xf>
    <xf numFmtId="0" fontId="6" fillId="5" borderId="61" xfId="0" applyFont="1" applyFill="1" applyBorder="1" applyProtection="1">
      <alignment vertical="top" wrapText="1"/>
      <protection hidden="1"/>
    </xf>
    <xf numFmtId="167" fontId="31" fillId="10" borderId="18" xfId="0" applyNumberFormat="1" applyFont="1" applyFill="1" applyBorder="1" applyProtection="1">
      <alignment vertical="top" wrapText="1"/>
      <protection hidden="1"/>
    </xf>
    <xf numFmtId="165" fontId="0" fillId="5" borderId="63" xfId="0" applyNumberFormat="1" applyFill="1" applyBorder="1" applyProtection="1">
      <alignment vertical="top" wrapText="1"/>
      <protection locked="0" hidden="1"/>
    </xf>
    <xf numFmtId="165" fontId="0" fillId="5" borderId="64" xfId="0" applyNumberFormat="1" applyFill="1" applyBorder="1" applyProtection="1">
      <alignment vertical="top" wrapText="1"/>
      <protection locked="0" hidden="1"/>
    </xf>
    <xf numFmtId="0" fontId="0" fillId="5" borderId="62" xfId="0" applyFill="1" applyBorder="1" applyProtection="1">
      <alignment vertical="top" wrapText="1"/>
      <protection hidden="1"/>
    </xf>
    <xf numFmtId="165" fontId="0" fillId="5" borderId="62" xfId="0" applyNumberFormat="1" applyFill="1" applyBorder="1" applyProtection="1">
      <alignment vertical="top" wrapText="1"/>
      <protection hidden="1"/>
    </xf>
    <xf numFmtId="0" fontId="0" fillId="17" borderId="62" xfId="0" applyFill="1" applyBorder="1" applyProtection="1">
      <alignment vertical="top" wrapText="1"/>
      <protection hidden="1"/>
    </xf>
    <xf numFmtId="0" fontId="0" fillId="5" borderId="18" xfId="0" applyFill="1" applyBorder="1" applyProtection="1">
      <alignment vertical="top" wrapText="1"/>
      <protection hidden="1"/>
    </xf>
    <xf numFmtId="167" fontId="31" fillId="10" borderId="1" xfId="0" applyNumberFormat="1" applyFont="1" applyFill="1" applyBorder="1" applyProtection="1">
      <alignment vertical="top" wrapText="1"/>
      <protection hidden="1"/>
    </xf>
    <xf numFmtId="0" fontId="12" fillId="4" borderId="1" xfId="0" applyNumberFormat="1" applyFont="1" applyFill="1" applyBorder="1" applyProtection="1">
      <alignment vertical="top" wrapText="1"/>
      <protection hidden="1"/>
    </xf>
    <xf numFmtId="49" fontId="33" fillId="4" borderId="23" xfId="0" applyNumberFormat="1" applyFont="1" applyFill="1" applyBorder="1" applyProtection="1">
      <alignment vertical="top" wrapText="1"/>
      <protection hidden="1"/>
    </xf>
    <xf numFmtId="49" fontId="15" fillId="0" borderId="65" xfId="0" applyNumberFormat="1" applyFont="1" applyBorder="1" applyProtection="1">
      <alignment vertical="top" wrapText="1"/>
      <protection hidden="1"/>
    </xf>
    <xf numFmtId="49" fontId="27" fillId="0" borderId="1" xfId="0" applyNumberFormat="1" applyFont="1" applyBorder="1" applyProtection="1">
      <alignment vertical="top" wrapText="1"/>
      <protection hidden="1"/>
    </xf>
    <xf numFmtId="167" fontId="3" fillId="0" borderId="59" xfId="0" applyNumberFormat="1" applyFont="1" applyBorder="1" applyProtection="1">
      <alignment vertical="top" wrapText="1"/>
      <protection hidden="1"/>
    </xf>
    <xf numFmtId="0" fontId="22" fillId="5" borderId="26" xfId="0" applyFont="1" applyFill="1" applyBorder="1" applyAlignment="1" applyProtection="1">
      <alignment vertical="top" wrapText="1" readingOrder="1"/>
      <protection hidden="1"/>
    </xf>
    <xf numFmtId="165" fontId="4" fillId="0" borderId="34" xfId="0" applyNumberFormat="1" applyFont="1" applyBorder="1" applyAlignment="1" applyProtection="1">
      <alignment horizontal="right" vertical="top" wrapText="1"/>
      <protection locked="0" hidden="1"/>
    </xf>
    <xf numFmtId="0" fontId="0" fillId="5" borderId="1" xfId="0" applyFill="1" applyBorder="1" applyAlignment="1" applyProtection="1">
      <alignment horizontal="right" vertical="top" wrapText="1"/>
      <protection hidden="1"/>
    </xf>
    <xf numFmtId="165" fontId="72" fillId="0" borderId="1" xfId="0" applyNumberFormat="1" applyFont="1" applyBorder="1" applyAlignment="1" applyProtection="1">
      <alignment horizontal="right" vertical="top" wrapText="1" readingOrder="1"/>
      <protection locked="0" hidden="1"/>
    </xf>
    <xf numFmtId="49" fontId="72" fillId="0" borderId="1" xfId="0" applyNumberFormat="1" applyFont="1" applyBorder="1" applyAlignment="1" applyProtection="1">
      <alignment horizontal="right" vertical="top" wrapText="1" readingOrder="1"/>
      <protection locked="0" hidden="1"/>
    </xf>
    <xf numFmtId="0" fontId="72" fillId="17" borderId="1" xfId="0" applyFont="1" applyFill="1" applyBorder="1" applyAlignment="1" applyProtection="1">
      <alignment horizontal="right" vertical="top" wrapText="1" readingOrder="1"/>
      <protection locked="0" hidden="1"/>
    </xf>
    <xf numFmtId="0" fontId="18" fillId="5" borderId="1" xfId="0" applyFont="1" applyFill="1" applyBorder="1" applyAlignment="1" applyProtection="1">
      <alignment horizontal="right" vertical="top" wrapText="1" readingOrder="1"/>
      <protection hidden="1"/>
    </xf>
    <xf numFmtId="167" fontId="3" fillId="3" borderId="67" xfId="0" applyNumberFormat="1" applyFont="1" applyFill="1" applyBorder="1" applyProtection="1">
      <alignment vertical="top" wrapText="1"/>
      <protection hidden="1"/>
    </xf>
    <xf numFmtId="0" fontId="36" fillId="3" borderId="1" xfId="0" applyNumberFormat="1" applyFont="1" applyFill="1" applyBorder="1" applyProtection="1">
      <alignment vertical="top" wrapText="1"/>
      <protection hidden="1"/>
    </xf>
    <xf numFmtId="0" fontId="37" fillId="3" borderId="1" xfId="0" applyNumberFormat="1" applyFont="1" applyFill="1" applyBorder="1" applyProtection="1">
      <alignment vertical="top" wrapText="1"/>
      <protection hidden="1"/>
    </xf>
    <xf numFmtId="0" fontId="37" fillId="3" borderId="59" xfId="0" applyNumberFormat="1" applyFont="1" applyFill="1" applyBorder="1" applyProtection="1">
      <alignment vertical="top" wrapText="1"/>
      <protection hidden="1"/>
    </xf>
    <xf numFmtId="0" fontId="32" fillId="5" borderId="60" xfId="0" applyNumberFormat="1" applyFont="1" applyFill="1" applyBorder="1" applyProtection="1">
      <alignment vertical="top" wrapText="1"/>
      <protection hidden="1"/>
    </xf>
    <xf numFmtId="0" fontId="2" fillId="5" borderId="26" xfId="0" applyFont="1" applyFill="1" applyBorder="1" applyProtection="1">
      <alignment vertical="top" wrapText="1"/>
      <protection hidden="1"/>
    </xf>
    <xf numFmtId="165" fontId="4" fillId="3" borderId="30" xfId="0" applyNumberFormat="1" applyFont="1" applyFill="1" applyBorder="1" applyAlignment="1" applyProtection="1">
      <alignment horizontal="right" vertical="top" wrapText="1"/>
      <protection locked="0" hidden="1"/>
    </xf>
    <xf numFmtId="165" fontId="4" fillId="3" borderId="34" xfId="0" applyNumberFormat="1" applyFont="1" applyFill="1" applyBorder="1" applyAlignment="1" applyProtection="1">
      <alignment horizontal="right" vertical="top" wrapText="1"/>
      <protection locked="0" hidden="1"/>
    </xf>
    <xf numFmtId="165" fontId="4" fillId="3" borderId="33" xfId="0" applyNumberFormat="1" applyFont="1" applyFill="1" applyBorder="1" applyAlignment="1" applyProtection="1">
      <alignment horizontal="right" vertical="top" wrapText="1"/>
      <protection locked="0" hidden="1"/>
    </xf>
    <xf numFmtId="165" fontId="72" fillId="3" borderId="1" xfId="0" applyNumberFormat="1" applyFont="1" applyFill="1" applyBorder="1" applyAlignment="1" applyProtection="1">
      <alignment horizontal="right" vertical="top" wrapText="1" readingOrder="1"/>
      <protection locked="0" hidden="1"/>
    </xf>
    <xf numFmtId="49" fontId="72" fillId="3" borderId="1" xfId="0" applyNumberFormat="1" applyFont="1" applyFill="1" applyBorder="1" applyAlignment="1" applyProtection="1">
      <alignment horizontal="right" vertical="top" wrapText="1" readingOrder="1"/>
      <protection locked="0" hidden="1"/>
    </xf>
    <xf numFmtId="0" fontId="38" fillId="3" borderId="59" xfId="0" applyFont="1" applyFill="1" applyBorder="1" applyAlignment="1" applyProtection="1">
      <alignment vertical="top" wrapText="1" readingOrder="1"/>
      <protection hidden="1"/>
    </xf>
    <xf numFmtId="165" fontId="14" fillId="3" borderId="30" xfId="0" applyNumberFormat="1" applyFont="1" applyFill="1" applyBorder="1" applyAlignment="1" applyProtection="1">
      <alignment horizontal="right" vertical="top" wrapText="1" readingOrder="1"/>
      <protection locked="0" hidden="1"/>
    </xf>
    <xf numFmtId="165" fontId="14" fillId="3" borderId="34" xfId="0" applyNumberFormat="1" applyFont="1" applyFill="1" applyBorder="1" applyAlignment="1" applyProtection="1">
      <alignment horizontal="right" vertical="top" wrapText="1" readingOrder="1"/>
      <protection locked="0" hidden="1"/>
    </xf>
    <xf numFmtId="165" fontId="14" fillId="3" borderId="37" xfId="0" applyNumberFormat="1" applyFont="1" applyFill="1" applyBorder="1" applyAlignment="1" applyProtection="1">
      <alignment horizontal="right" vertical="top" wrapText="1" readingOrder="1"/>
      <protection locked="0" hidden="1"/>
    </xf>
    <xf numFmtId="165" fontId="14" fillId="3" borderId="1" xfId="0" applyNumberFormat="1" applyFont="1" applyFill="1" applyBorder="1" applyAlignment="1" applyProtection="1">
      <alignment horizontal="right" vertical="top" wrapText="1" readingOrder="1"/>
      <protection locked="0" hidden="1"/>
    </xf>
    <xf numFmtId="49" fontId="14" fillId="3" borderId="1" xfId="0" applyNumberFormat="1" applyFont="1" applyFill="1" applyBorder="1" applyAlignment="1" applyProtection="1">
      <alignment horizontal="right" vertical="top" wrapText="1" readingOrder="1"/>
      <protection locked="0" hidden="1"/>
    </xf>
    <xf numFmtId="167" fontId="3" fillId="0" borderId="67" xfId="0" applyNumberFormat="1" applyFont="1" applyBorder="1" applyProtection="1">
      <alignment vertical="top" wrapText="1"/>
      <protection hidden="1"/>
    </xf>
    <xf numFmtId="0" fontId="39" fillId="0" borderId="1" xfId="0" applyNumberFormat="1" applyFont="1" applyBorder="1" applyProtection="1">
      <alignment vertical="top" wrapText="1"/>
      <protection hidden="1"/>
    </xf>
    <xf numFmtId="0" fontId="26" fillId="0" borderId="1" xfId="0" applyNumberFormat="1" applyFont="1" applyBorder="1" applyProtection="1">
      <alignment vertical="top" wrapText="1"/>
      <protection hidden="1"/>
    </xf>
    <xf numFmtId="49" fontId="17" fillId="0" borderId="59" xfId="0" applyNumberFormat="1" applyFont="1" applyBorder="1" applyAlignment="1" applyProtection="1">
      <alignment vertical="top" wrapText="1" readingOrder="1"/>
      <protection hidden="1"/>
    </xf>
    <xf numFmtId="167" fontId="40" fillId="5" borderId="60" xfId="0" applyNumberFormat="1" applyFont="1" applyFill="1" applyBorder="1" applyProtection="1">
      <alignment vertical="top" wrapText="1"/>
      <protection hidden="1"/>
    </xf>
    <xf numFmtId="165" fontId="4" fillId="0" borderId="30" xfId="0" applyNumberFormat="1" applyFont="1" applyBorder="1" applyAlignment="1" applyProtection="1">
      <alignment horizontal="right" vertical="top" wrapText="1"/>
      <protection locked="0" hidden="1"/>
    </xf>
    <xf numFmtId="165" fontId="4" fillId="0" borderId="33" xfId="0" applyNumberFormat="1" applyFont="1" applyBorder="1" applyAlignment="1" applyProtection="1">
      <alignment horizontal="right" vertical="top" wrapText="1"/>
      <protection locked="0" hidden="1"/>
    </xf>
    <xf numFmtId="167" fontId="3" fillId="4" borderId="67" xfId="0" applyNumberFormat="1" applyFont="1" applyFill="1" applyBorder="1" applyProtection="1">
      <alignment vertical="top" wrapText="1"/>
      <protection hidden="1"/>
    </xf>
    <xf numFmtId="0" fontId="17" fillId="4" borderId="68" xfId="0" applyNumberFormat="1" applyFont="1" applyFill="1" applyBorder="1" applyAlignment="1" applyProtection="1">
      <alignment vertical="top" wrapText="1" readingOrder="1"/>
      <protection hidden="1"/>
    </xf>
    <xf numFmtId="167" fontId="41" fillId="5" borderId="69" xfId="0" applyNumberFormat="1" applyFont="1" applyFill="1" applyBorder="1" applyAlignment="1" applyProtection="1">
      <alignment horizontal="right" vertical="top" wrapText="1"/>
      <protection hidden="1"/>
    </xf>
    <xf numFmtId="165" fontId="4" fillId="0" borderId="37" xfId="0" applyNumberFormat="1" applyFont="1" applyBorder="1" applyAlignment="1" applyProtection="1">
      <alignment horizontal="right" vertical="top" wrapText="1"/>
      <protection locked="0" hidden="1"/>
    </xf>
    <xf numFmtId="165" fontId="14" fillId="0" borderId="1" xfId="0" applyNumberFormat="1" applyFont="1" applyBorder="1" applyAlignment="1" applyProtection="1">
      <alignment horizontal="right" vertical="top" wrapText="1" readingOrder="1"/>
      <protection locked="0" hidden="1"/>
    </xf>
    <xf numFmtId="49" fontId="37" fillId="3" borderId="59" xfId="0" applyNumberFormat="1" applyFont="1" applyFill="1" applyBorder="1" applyProtection="1">
      <alignment vertical="top" wrapText="1"/>
      <protection hidden="1"/>
    </xf>
    <xf numFmtId="0" fontId="42" fillId="5" borderId="60" xfId="0" applyNumberFormat="1" applyFont="1" applyFill="1" applyBorder="1" applyProtection="1">
      <alignment vertical="top" wrapText="1"/>
      <protection hidden="1"/>
    </xf>
    <xf numFmtId="49" fontId="38" fillId="3" borderId="59" xfId="0" applyNumberFormat="1" applyFont="1" applyFill="1" applyBorder="1" applyAlignment="1" applyProtection="1">
      <alignment vertical="top" wrapText="1" readingOrder="1"/>
      <protection hidden="1"/>
    </xf>
    <xf numFmtId="165" fontId="14" fillId="3" borderId="33" xfId="0" applyNumberFormat="1" applyFont="1" applyFill="1" applyBorder="1" applyAlignment="1" applyProtection="1">
      <alignment horizontal="right" vertical="top" wrapText="1" readingOrder="1"/>
      <protection locked="0" hidden="1"/>
    </xf>
    <xf numFmtId="0" fontId="39" fillId="4" borderId="1" xfId="0" applyNumberFormat="1" applyFont="1" applyFill="1" applyBorder="1" applyProtection="1">
      <alignment vertical="top" wrapText="1"/>
      <protection hidden="1"/>
    </xf>
    <xf numFmtId="0" fontId="26" fillId="4" borderId="1" xfId="0" applyNumberFormat="1" applyFont="1" applyFill="1" applyBorder="1" applyProtection="1">
      <alignment vertical="top" wrapText="1"/>
      <protection hidden="1"/>
    </xf>
    <xf numFmtId="49" fontId="17" fillId="4" borderId="1" xfId="0" applyNumberFormat="1" applyFont="1" applyFill="1" applyBorder="1" applyAlignment="1" applyProtection="1">
      <alignment vertical="top" wrapText="1" readingOrder="1"/>
      <protection hidden="1"/>
    </xf>
    <xf numFmtId="0" fontId="42" fillId="5" borderId="25" xfId="0" applyNumberFormat="1" applyFont="1" applyFill="1" applyBorder="1" applyProtection="1">
      <alignment vertical="top" wrapText="1"/>
      <protection hidden="1"/>
    </xf>
    <xf numFmtId="0" fontId="17" fillId="4" borderId="1" xfId="0" applyNumberFormat="1" applyFont="1" applyFill="1" applyBorder="1" applyAlignment="1" applyProtection="1">
      <alignment vertical="top" wrapText="1" readingOrder="1"/>
      <protection hidden="1"/>
    </xf>
    <xf numFmtId="49" fontId="6" fillId="5" borderId="35" xfId="0" applyNumberFormat="1" applyFont="1" applyFill="1" applyBorder="1" applyProtection="1">
      <alignment vertical="top" wrapText="1"/>
      <protection hidden="1"/>
    </xf>
    <xf numFmtId="49" fontId="6" fillId="5" borderId="36" xfId="0" applyNumberFormat="1" applyFont="1" applyFill="1" applyBorder="1" applyAlignment="1" applyProtection="1">
      <alignment horizontal="center" vertical="top" wrapText="1"/>
      <protection hidden="1"/>
    </xf>
    <xf numFmtId="49" fontId="0" fillId="5" borderId="67" xfId="0" applyNumberFormat="1" applyFill="1" applyBorder="1" applyProtection="1">
      <alignment vertical="top" wrapText="1"/>
      <protection hidden="1"/>
    </xf>
    <xf numFmtId="49" fontId="6" fillId="5" borderId="1" xfId="0" applyNumberFormat="1" applyFont="1" applyFill="1" applyBorder="1" applyProtection="1">
      <alignment vertical="top" wrapText="1"/>
      <protection hidden="1"/>
    </xf>
    <xf numFmtId="49" fontId="6" fillId="5" borderId="59" xfId="0" applyNumberFormat="1" applyFont="1" applyFill="1" applyBorder="1" applyProtection="1">
      <alignment vertical="top" wrapText="1"/>
      <protection hidden="1"/>
    </xf>
    <xf numFmtId="165" fontId="43" fillId="5" borderId="30" xfId="0" applyNumberFormat="1" applyFont="1" applyFill="1" applyBorder="1" applyProtection="1">
      <alignment vertical="top" wrapText="1"/>
      <protection locked="0" hidden="1"/>
    </xf>
    <xf numFmtId="165" fontId="43" fillId="5" borderId="34" xfId="0" applyNumberFormat="1" applyFont="1" applyFill="1" applyBorder="1" applyProtection="1">
      <alignment vertical="top" wrapText="1"/>
      <protection locked="0" hidden="1"/>
    </xf>
    <xf numFmtId="165" fontId="43" fillId="5" borderId="33" xfId="0" applyNumberFormat="1" applyFont="1" applyFill="1" applyBorder="1" applyProtection="1">
      <alignment vertical="top" wrapText="1"/>
      <protection locked="0" hidden="1"/>
    </xf>
    <xf numFmtId="0" fontId="0" fillId="5" borderId="1" xfId="0" applyFill="1" applyBorder="1" applyProtection="1">
      <alignment vertical="top" wrapText="1"/>
      <protection hidden="1"/>
    </xf>
    <xf numFmtId="165" fontId="73" fillId="5" borderId="1" xfId="0" applyNumberFormat="1" applyFont="1" applyFill="1" applyBorder="1" applyProtection="1">
      <alignment vertical="top" wrapText="1"/>
      <protection locked="0" hidden="1"/>
    </xf>
    <xf numFmtId="49" fontId="73" fillId="5" borderId="1" xfId="0" applyNumberFormat="1" applyFont="1" applyFill="1" applyBorder="1" applyProtection="1">
      <alignment vertical="top" wrapText="1"/>
      <protection locked="0" hidden="1"/>
    </xf>
    <xf numFmtId="0" fontId="73" fillId="17" borderId="1" xfId="0" applyFont="1" applyFill="1" applyBorder="1" applyProtection="1">
      <alignment vertical="top" wrapText="1"/>
      <protection locked="0" hidden="1"/>
    </xf>
    <xf numFmtId="0" fontId="38" fillId="3" borderId="59" xfId="0" applyNumberFormat="1" applyFont="1" applyFill="1" applyBorder="1" applyAlignment="1" applyProtection="1">
      <alignment vertical="top" wrapText="1" readingOrder="1"/>
      <protection hidden="1"/>
    </xf>
    <xf numFmtId="0" fontId="33" fillId="4" borderId="23" xfId="0" applyNumberFormat="1" applyFont="1" applyFill="1" applyBorder="1" applyProtection="1">
      <alignment vertical="top" wrapText="1"/>
      <protection hidden="1"/>
    </xf>
    <xf numFmtId="0" fontId="15" fillId="0" borderId="65" xfId="0" applyNumberFormat="1" applyFont="1" applyBorder="1" applyProtection="1">
      <alignment vertical="top" wrapText="1"/>
      <protection hidden="1"/>
    </xf>
    <xf numFmtId="0" fontId="27" fillId="0" borderId="1" xfId="0" applyNumberFormat="1" applyFont="1" applyBorder="1" applyProtection="1">
      <alignment vertical="top" wrapText="1"/>
      <protection hidden="1"/>
    </xf>
    <xf numFmtId="0" fontId="6" fillId="7" borderId="3" xfId="0" applyFont="1" applyFill="1" applyBorder="1" applyProtection="1">
      <alignment vertical="top" wrapText="1"/>
      <protection hidden="1"/>
    </xf>
    <xf numFmtId="0" fontId="6" fillId="5" borderId="3" xfId="0" applyFont="1" applyFill="1" applyBorder="1" applyProtection="1">
      <alignment vertical="top" wrapText="1"/>
      <protection hidden="1"/>
    </xf>
    <xf numFmtId="165" fontId="6" fillId="2" borderId="3" xfId="0" applyNumberFormat="1" applyFont="1" applyFill="1" applyBorder="1" applyProtection="1">
      <alignment vertical="top" wrapText="1"/>
      <protection hidden="1"/>
    </xf>
    <xf numFmtId="0" fontId="6" fillId="17" borderId="3" xfId="0" applyFont="1" applyFill="1" applyBorder="1" applyProtection="1">
      <alignment vertical="top" wrapText="1"/>
      <protection hidden="1"/>
    </xf>
    <xf numFmtId="49" fontId="0" fillId="5" borderId="84" xfId="0" applyNumberFormat="1" applyFill="1" applyBorder="1" applyProtection="1">
      <alignment vertical="top" wrapText="1"/>
      <protection hidden="1"/>
    </xf>
    <xf numFmtId="49" fontId="6" fillId="5" borderId="20" xfId="0" applyNumberFormat="1" applyFont="1" applyFill="1" applyBorder="1" applyProtection="1">
      <alignment vertical="top" wrapText="1"/>
      <protection hidden="1"/>
    </xf>
    <xf numFmtId="0" fontId="6" fillId="13" borderId="38" xfId="0" applyNumberFormat="1" applyFont="1" applyFill="1" applyBorder="1" applyProtection="1">
      <alignment vertical="top" wrapText="1"/>
      <protection hidden="1"/>
    </xf>
    <xf numFmtId="167" fontId="31" fillId="2" borderId="85" xfId="0" applyNumberFormat="1" applyFont="1" applyFill="1" applyBorder="1" applyProtection="1">
      <alignment vertical="top" wrapText="1"/>
      <protection hidden="1"/>
    </xf>
    <xf numFmtId="49" fontId="6" fillId="5" borderId="86" xfId="0" applyNumberFormat="1" applyFont="1" applyFill="1" applyBorder="1" applyProtection="1">
      <alignment vertical="top" wrapText="1"/>
      <protection hidden="1"/>
    </xf>
    <xf numFmtId="49" fontId="6" fillId="5" borderId="87" xfId="0" applyNumberFormat="1" applyFont="1" applyFill="1" applyBorder="1" applyAlignment="1" applyProtection="1">
      <alignment horizontal="center" vertical="top" wrapText="1"/>
      <protection hidden="1"/>
    </xf>
    <xf numFmtId="49" fontId="7" fillId="11" borderId="25" xfId="0" applyNumberFormat="1" applyFont="1" applyFill="1" applyBorder="1" applyProtection="1">
      <alignment vertical="top" wrapText="1"/>
      <protection hidden="1"/>
    </xf>
    <xf numFmtId="0" fontId="93" fillId="11" borderId="54" xfId="0" applyNumberFormat="1" applyFont="1" applyFill="1" applyBorder="1" applyProtection="1">
      <alignment vertical="top" wrapText="1"/>
      <protection locked="0" hidden="1"/>
    </xf>
    <xf numFmtId="169" fontId="71" fillId="20" borderId="38" xfId="0" applyNumberFormat="1" applyFont="1" applyFill="1" applyBorder="1" applyProtection="1">
      <alignment vertical="top" wrapText="1"/>
      <protection hidden="1"/>
    </xf>
    <xf numFmtId="165" fontId="14" fillId="0" borderId="30" xfId="0" applyNumberFormat="1" applyFont="1" applyBorder="1" applyAlignment="1" applyProtection="1">
      <alignment horizontal="left" vertical="top" wrapText="1" readingOrder="1"/>
      <protection locked="0" hidden="1"/>
    </xf>
    <xf numFmtId="165" fontId="6" fillId="20" borderId="1" xfId="0" applyNumberFormat="1" applyFont="1" applyFill="1" applyBorder="1" applyProtection="1">
      <alignment vertical="top" wrapText="1"/>
      <protection hidden="1"/>
    </xf>
    <xf numFmtId="169" fontId="6" fillId="20" borderId="3" xfId="0" applyNumberFormat="1" applyFont="1" applyFill="1" applyBorder="1" applyProtection="1">
      <alignment vertical="top" wrapText="1"/>
      <protection hidden="1"/>
    </xf>
    <xf numFmtId="49" fontId="12" fillId="20" borderId="38" xfId="0" applyNumberFormat="1" applyFont="1" applyFill="1" applyBorder="1" applyProtection="1">
      <alignment vertical="top" wrapText="1"/>
      <protection hidden="1"/>
    </xf>
    <xf numFmtId="0" fontId="6" fillId="20" borderId="38" xfId="0" applyNumberFormat="1" applyFont="1" applyFill="1" applyBorder="1" applyProtection="1">
      <alignment vertical="top" wrapText="1"/>
      <protection hidden="1"/>
    </xf>
    <xf numFmtId="49" fontId="6" fillId="19" borderId="6" xfId="0" applyNumberFormat="1" applyFont="1" applyFill="1" applyBorder="1" applyAlignment="1" applyProtection="1">
      <alignment horizontal="right" vertical="top" wrapText="1"/>
      <protection hidden="1"/>
    </xf>
    <xf numFmtId="0" fontId="6" fillId="5" borderId="26" xfId="0" applyFont="1" applyFill="1" applyBorder="1" applyProtection="1">
      <alignment vertical="top" wrapText="1"/>
      <protection hidden="1"/>
    </xf>
    <xf numFmtId="0" fontId="6" fillId="5" borderId="55" xfId="0" applyFont="1" applyFill="1" applyBorder="1" applyProtection="1">
      <alignment vertical="top" wrapText="1"/>
      <protection hidden="1"/>
    </xf>
    <xf numFmtId="164" fontId="13" fillId="21" borderId="90" xfId="0" applyNumberFormat="1" applyFont="1" applyFill="1" applyBorder="1" applyProtection="1">
      <alignment vertical="top" wrapText="1"/>
      <protection locked="0" hidden="1"/>
    </xf>
    <xf numFmtId="170" fontId="13" fillId="21" borderId="90" xfId="0" applyNumberFormat="1" applyFont="1" applyFill="1" applyBorder="1" applyProtection="1">
      <alignment vertical="top" wrapText="1"/>
      <protection locked="0" hidden="1"/>
    </xf>
    <xf numFmtId="170" fontId="13" fillId="21" borderId="91" xfId="0" applyNumberFormat="1" applyFont="1" applyFill="1" applyBorder="1" applyProtection="1">
      <alignment vertical="top" wrapText="1"/>
      <protection locked="0" hidden="1"/>
    </xf>
    <xf numFmtId="49" fontId="6" fillId="19" borderId="52" xfId="0" applyNumberFormat="1" applyFont="1" applyFill="1" applyBorder="1" applyAlignment="1" applyProtection="1">
      <alignment horizontal="right" vertical="top" wrapText="1"/>
      <protection hidden="1"/>
    </xf>
    <xf numFmtId="49" fontId="6" fillId="19" borderId="92" xfId="0" applyNumberFormat="1" applyFont="1" applyFill="1" applyBorder="1" applyAlignment="1" applyProtection="1">
      <alignment horizontal="right" vertical="top" wrapText="1"/>
      <protection hidden="1"/>
    </xf>
    <xf numFmtId="49" fontId="6" fillId="19" borderId="93" xfId="0" applyNumberFormat="1" applyFont="1" applyFill="1" applyBorder="1" applyAlignment="1" applyProtection="1">
      <alignment horizontal="right" vertical="top" wrapText="1"/>
      <protection hidden="1"/>
    </xf>
    <xf numFmtId="49" fontId="6" fillId="25" borderId="61" xfId="0" applyNumberFormat="1" applyFont="1" applyFill="1" applyBorder="1" applyProtection="1">
      <alignment vertical="top" wrapText="1"/>
      <protection hidden="1"/>
    </xf>
    <xf numFmtId="49" fontId="6" fillId="25" borderId="61" xfId="0" applyNumberFormat="1" applyFont="1" applyFill="1" applyBorder="1" applyAlignment="1" applyProtection="1">
      <alignment horizontal="left" vertical="top" wrapText="1"/>
      <protection hidden="1"/>
    </xf>
    <xf numFmtId="0" fontId="6" fillId="17" borderId="61" xfId="0" applyFont="1" applyFill="1" applyBorder="1" applyAlignment="1" applyProtection="1">
      <alignment horizontal="left" vertical="top" wrapText="1"/>
      <protection hidden="1"/>
    </xf>
    <xf numFmtId="0" fontId="6" fillId="25" borderId="3" xfId="0" applyFont="1" applyFill="1" applyBorder="1" applyProtection="1">
      <alignment vertical="top" wrapText="1"/>
      <protection hidden="1"/>
    </xf>
    <xf numFmtId="165" fontId="6" fillId="25" borderId="61" xfId="0" applyNumberFormat="1" applyFont="1" applyFill="1" applyBorder="1" applyAlignment="1" applyProtection="1">
      <alignment horizontal="left" vertical="top" wrapText="1"/>
      <protection hidden="1"/>
    </xf>
    <xf numFmtId="0" fontId="77" fillId="0" borderId="0" xfId="0" applyFont="1">
      <alignment vertical="top" wrapText="1"/>
    </xf>
    <xf numFmtId="171" fontId="0" fillId="0" borderId="0" xfId="0" applyNumberFormat="1">
      <alignment vertical="top" wrapText="1"/>
    </xf>
    <xf numFmtId="0" fontId="30" fillId="0" borderId="0" xfId="0" applyFont="1">
      <alignment vertical="top" wrapText="1"/>
    </xf>
    <xf numFmtId="171" fontId="30" fillId="0" borderId="0" xfId="0" applyNumberFormat="1" applyFont="1">
      <alignment vertical="top" wrapText="1"/>
    </xf>
    <xf numFmtId="0" fontId="7" fillId="0" borderId="0" xfId="0" applyFont="1">
      <alignment vertical="top" wrapText="1"/>
    </xf>
    <xf numFmtId="171" fontId="100" fillId="13" borderId="38" xfId="0" applyNumberFormat="1" applyFont="1" applyFill="1" applyBorder="1" applyProtection="1">
      <alignment vertical="top" wrapText="1"/>
      <protection locked="0" hidden="1"/>
    </xf>
    <xf numFmtId="0" fontId="31" fillId="2" borderId="3" xfId="0" applyFont="1" applyFill="1" applyBorder="1" applyProtection="1">
      <alignment vertical="top" wrapText="1"/>
      <protection hidden="1"/>
    </xf>
    <xf numFmtId="0" fontId="31" fillId="2" borderId="54" xfId="0" applyFont="1" applyFill="1" applyBorder="1" applyProtection="1">
      <alignment vertical="top" wrapText="1"/>
      <protection hidden="1"/>
    </xf>
    <xf numFmtId="169" fontId="9" fillId="20" borderId="38" xfId="0" applyNumberFormat="1" applyFont="1" applyFill="1" applyBorder="1" applyProtection="1">
      <alignment vertical="top" wrapText="1"/>
      <protection hidden="1"/>
    </xf>
    <xf numFmtId="14" fontId="57" fillId="0" borderId="0" xfId="0" applyNumberFormat="1" applyFont="1">
      <alignment vertical="top" wrapText="1"/>
    </xf>
    <xf numFmtId="0" fontId="71" fillId="0" borderId="0" xfId="0" applyFont="1">
      <alignment vertical="top" wrapText="1"/>
    </xf>
    <xf numFmtId="171" fontId="103" fillId="0" borderId="0" xfId="0" applyNumberFormat="1" applyFont="1">
      <alignment vertical="top" wrapText="1"/>
    </xf>
    <xf numFmtId="171" fontId="1" fillId="0" borderId="0" xfId="0" applyNumberFormat="1" applyFont="1">
      <alignment vertical="top" wrapText="1"/>
    </xf>
    <xf numFmtId="169" fontId="104" fillId="7" borderId="1" xfId="0" applyNumberFormat="1" applyFont="1" applyFill="1" applyBorder="1" applyProtection="1">
      <alignment vertical="top" wrapText="1"/>
      <protection hidden="1"/>
    </xf>
    <xf numFmtId="0" fontId="104" fillId="7" borderId="1" xfId="0" applyFont="1" applyFill="1" applyBorder="1" applyProtection="1">
      <alignment vertical="top" wrapText="1"/>
      <protection hidden="1"/>
    </xf>
    <xf numFmtId="165" fontId="6" fillId="2" borderId="25" xfId="0" applyNumberFormat="1" applyFont="1" applyFill="1" applyBorder="1" applyProtection="1">
      <alignment vertical="top" wrapText="1"/>
      <protection hidden="1"/>
    </xf>
    <xf numFmtId="165" fontId="6" fillId="2" borderId="26" xfId="0" applyNumberFormat="1" applyFont="1" applyFill="1" applyBorder="1" applyProtection="1">
      <alignment vertical="top" wrapText="1"/>
      <protection hidden="1"/>
    </xf>
    <xf numFmtId="0" fontId="101" fillId="25" borderId="88" xfId="0" applyFont="1" applyFill="1" applyBorder="1" applyProtection="1">
      <alignment vertical="top" wrapText="1"/>
      <protection hidden="1"/>
    </xf>
    <xf numFmtId="49" fontId="6" fillId="5" borderId="6" xfId="0" applyNumberFormat="1" applyFont="1" applyFill="1" applyBorder="1" applyProtection="1">
      <alignment vertical="top" wrapText="1"/>
      <protection hidden="1"/>
    </xf>
    <xf numFmtId="49" fontId="6" fillId="3" borderId="25" xfId="0" applyNumberFormat="1" applyFont="1" applyFill="1" applyBorder="1" applyAlignment="1" applyProtection="1">
      <alignment horizontal="center" vertical="top" wrapText="1"/>
      <protection hidden="1"/>
    </xf>
    <xf numFmtId="49" fontId="6" fillId="3" borderId="94" xfId="0" applyNumberFormat="1" applyFont="1" applyFill="1" applyBorder="1" applyAlignment="1" applyProtection="1">
      <alignment horizontal="center" vertical="top" wrapText="1"/>
      <protection hidden="1"/>
    </xf>
    <xf numFmtId="0" fontId="6" fillId="5" borderId="6" xfId="0" applyFont="1" applyFill="1" applyBorder="1" applyAlignment="1" applyProtection="1">
      <alignment horizontal="right" vertical="top" wrapText="1"/>
      <protection hidden="1"/>
    </xf>
    <xf numFmtId="49" fontId="6" fillId="5" borderId="95" xfId="0" applyNumberFormat="1" applyFont="1" applyFill="1" applyBorder="1" applyProtection="1">
      <alignment vertical="top" wrapText="1"/>
      <protection hidden="1"/>
    </xf>
    <xf numFmtId="49" fontId="6" fillId="19" borderId="96" xfId="0" applyNumberFormat="1" applyFont="1" applyFill="1" applyBorder="1" applyAlignment="1" applyProtection="1">
      <alignment horizontal="right" vertical="top" wrapText="1"/>
      <protection hidden="1"/>
    </xf>
    <xf numFmtId="164" fontId="13" fillId="21" borderId="97" xfId="0" applyNumberFormat="1" applyFont="1" applyFill="1" applyBorder="1" applyProtection="1">
      <alignment vertical="top" wrapText="1"/>
      <protection locked="0" hidden="1"/>
    </xf>
    <xf numFmtId="165" fontId="0" fillId="5" borderId="98" xfId="0" applyNumberFormat="1" applyFill="1" applyBorder="1" applyProtection="1">
      <alignment vertical="top" wrapText="1"/>
      <protection locked="0" hidden="1"/>
    </xf>
    <xf numFmtId="0" fontId="32" fillId="5" borderId="6" xfId="0" applyFont="1" applyFill="1" applyBorder="1" applyProtection="1">
      <alignment vertical="top" wrapText="1"/>
      <protection hidden="1"/>
    </xf>
    <xf numFmtId="0" fontId="6" fillId="3" borderId="6" xfId="0" applyFont="1" applyFill="1" applyBorder="1" applyProtection="1">
      <alignment vertical="top" wrapText="1"/>
      <protection hidden="1"/>
    </xf>
    <xf numFmtId="0" fontId="9" fillId="0" borderId="38" xfId="0" applyNumberFormat="1" applyFont="1" applyBorder="1" applyAlignment="1">
      <alignment horizontal="left" vertical="top" wrapText="1"/>
    </xf>
    <xf numFmtId="0" fontId="7" fillId="0" borderId="38" xfId="0" applyNumberFormat="1" applyFont="1" applyBorder="1" applyAlignment="1">
      <alignment horizontal="center" vertical="top" wrapText="1"/>
    </xf>
    <xf numFmtId="0" fontId="7" fillId="0" borderId="38" xfId="0" applyNumberFormat="1" applyFont="1" applyBorder="1" applyAlignment="1">
      <alignment horizontal="left" vertical="top" wrapText="1"/>
    </xf>
    <xf numFmtId="1" fontId="94" fillId="0" borderId="38" xfId="0" applyNumberFormat="1" applyFont="1" applyBorder="1">
      <alignment vertical="top" wrapText="1"/>
    </xf>
    <xf numFmtId="49" fontId="67" fillId="2" borderId="29" xfId="0" applyNumberFormat="1" applyFont="1" applyFill="1" applyBorder="1" applyProtection="1">
      <alignment vertical="top" wrapText="1"/>
      <protection hidden="1"/>
    </xf>
    <xf numFmtId="49" fontId="67" fillId="2" borderId="7" xfId="0" applyNumberFormat="1" applyFont="1" applyFill="1" applyBorder="1" applyProtection="1">
      <alignment vertical="top" wrapText="1"/>
      <protection hidden="1"/>
    </xf>
    <xf numFmtId="49" fontId="67" fillId="2" borderId="8" xfId="0" applyNumberFormat="1" applyFont="1" applyFill="1" applyBorder="1" applyProtection="1">
      <alignment vertical="top" wrapText="1"/>
      <protection hidden="1"/>
    </xf>
    <xf numFmtId="49" fontId="106" fillId="2" borderId="5" xfId="0" applyNumberFormat="1" applyFont="1" applyFill="1" applyBorder="1" applyAlignment="1" applyProtection="1">
      <alignment horizontal="left" vertical="top" wrapText="1"/>
      <protection hidden="1"/>
    </xf>
    <xf numFmtId="49" fontId="106" fillId="2" borderId="6" xfId="0" applyNumberFormat="1" applyFont="1" applyFill="1" applyBorder="1" applyAlignment="1" applyProtection="1">
      <alignment horizontal="left" vertical="top" wrapText="1"/>
      <protection hidden="1"/>
    </xf>
    <xf numFmtId="49" fontId="106" fillId="2" borderId="53" xfId="0" applyNumberFormat="1" applyFont="1" applyFill="1" applyBorder="1" applyAlignment="1" applyProtection="1">
      <alignment horizontal="left" vertical="top" wrapText="1"/>
      <protection hidden="1"/>
    </xf>
    <xf numFmtId="2" fontId="0" fillId="0" borderId="0" xfId="0" applyNumberFormat="1" applyProtection="1">
      <alignment vertical="top" wrapText="1"/>
      <protection hidden="1"/>
    </xf>
    <xf numFmtId="0" fontId="9" fillId="0" borderId="6" xfId="0" applyFont="1" applyBorder="1">
      <alignment vertical="top" wrapText="1"/>
    </xf>
    <xf numFmtId="14" fontId="56" fillId="0" borderId="44" xfId="0" applyNumberFormat="1" applyFont="1" applyBorder="1" applyAlignment="1" applyProtection="1">
      <alignment horizontal="center" vertical="top" wrapText="1" readingOrder="1"/>
      <protection hidden="1"/>
    </xf>
    <xf numFmtId="0" fontId="44" fillId="0" borderId="6" xfId="0" applyFont="1" applyBorder="1" applyProtection="1">
      <alignment vertical="top" wrapText="1"/>
      <protection hidden="1"/>
    </xf>
    <xf numFmtId="49" fontId="46" fillId="12" borderId="41" xfId="0" applyNumberFormat="1" applyFont="1" applyFill="1" applyBorder="1" applyAlignment="1" applyProtection="1">
      <alignment horizontal="left" vertical="top" wrapText="1" readingOrder="1"/>
      <protection hidden="1"/>
    </xf>
    <xf numFmtId="0" fontId="44" fillId="0" borderId="45" xfId="0" applyFont="1" applyBorder="1" applyProtection="1">
      <alignment vertical="top" wrapText="1"/>
      <protection hidden="1"/>
    </xf>
    <xf numFmtId="0" fontId="12" fillId="0" borderId="38" xfId="0" applyNumberFormat="1" applyFont="1" applyBorder="1" applyProtection="1">
      <alignment vertical="top" wrapText="1"/>
      <protection hidden="1"/>
    </xf>
    <xf numFmtId="0" fontId="12" fillId="0" borderId="102" xfId="0" applyNumberFormat="1" applyFont="1" applyBorder="1" applyProtection="1">
      <alignment vertical="top" wrapText="1"/>
      <protection hidden="1"/>
    </xf>
    <xf numFmtId="0" fontId="12" fillId="0" borderId="103" xfId="0" applyNumberFormat="1" applyFont="1" applyBorder="1" applyProtection="1">
      <alignment vertical="top" wrapText="1"/>
      <protection hidden="1"/>
    </xf>
    <xf numFmtId="0" fontId="12" fillId="0" borderId="105" xfId="0" applyNumberFormat="1" applyFont="1" applyBorder="1" applyProtection="1">
      <alignment vertical="top" wrapText="1"/>
      <protection hidden="1"/>
    </xf>
    <xf numFmtId="0" fontId="12" fillId="0" borderId="107" xfId="0" applyNumberFormat="1" applyFont="1" applyBorder="1" applyProtection="1">
      <alignment vertical="top" wrapText="1"/>
      <protection hidden="1"/>
    </xf>
    <xf numFmtId="0" fontId="12" fillId="0" borderId="108" xfId="0" applyNumberFormat="1" applyFont="1" applyBorder="1" applyProtection="1">
      <alignment vertical="top" wrapText="1"/>
      <protection hidden="1"/>
    </xf>
    <xf numFmtId="2" fontId="21" fillId="0" borderId="6" xfId="0" applyNumberFormat="1" applyFont="1" applyBorder="1" applyProtection="1">
      <alignment vertical="top" wrapText="1"/>
      <protection hidden="1"/>
    </xf>
    <xf numFmtId="0" fontId="112" fillId="0" borderId="0" xfId="0" applyNumberFormat="1" applyFont="1" applyAlignment="1" applyProtection="1">
      <alignment horizontal="center" vertical="top" wrapText="1"/>
      <protection hidden="1"/>
    </xf>
    <xf numFmtId="0" fontId="113" fillId="0" borderId="100" xfId="0" applyNumberFormat="1" applyFont="1" applyBorder="1" applyAlignment="1" applyProtection="1">
      <alignment horizontal="center" vertical="top" wrapText="1"/>
      <protection locked="0" hidden="1"/>
    </xf>
    <xf numFmtId="0" fontId="0" fillId="0" borderId="38" xfId="0" applyNumberFormat="1" applyBorder="1">
      <alignment vertical="top" wrapText="1"/>
    </xf>
    <xf numFmtId="0" fontId="0" fillId="0" borderId="6" xfId="0" applyNumberFormat="1" applyBorder="1" applyAlignment="1">
      <alignment horizontal="center" vertical="top" wrapText="1"/>
    </xf>
    <xf numFmtId="0" fontId="0" fillId="0" borderId="6" xfId="0" applyNumberFormat="1" applyBorder="1">
      <alignment vertical="top" wrapText="1"/>
    </xf>
    <xf numFmtId="0" fontId="0" fillId="0" borderId="40" xfId="0" applyNumberFormat="1" applyBorder="1">
      <alignment vertical="top" wrapText="1"/>
    </xf>
    <xf numFmtId="0" fontId="0" fillId="0" borderId="104" xfId="0" applyNumberFormat="1" applyBorder="1" applyAlignment="1">
      <alignment horizontal="center" vertical="top" wrapText="1"/>
    </xf>
    <xf numFmtId="0" fontId="0" fillId="0" borderId="106" xfId="0" applyNumberFormat="1" applyBorder="1" applyAlignment="1">
      <alignment horizontal="center" vertical="top" wrapText="1"/>
    </xf>
    <xf numFmtId="0" fontId="0" fillId="0" borderId="104" xfId="0" applyNumberFormat="1" applyBorder="1">
      <alignment vertical="top" wrapText="1"/>
    </xf>
    <xf numFmtId="0" fontId="0" fillId="0" borderId="106" xfId="0" applyNumberFormat="1" applyBorder="1">
      <alignment vertical="top" wrapText="1"/>
    </xf>
    <xf numFmtId="0" fontId="12" fillId="0" borderId="38" xfId="0" applyNumberFormat="1" applyFont="1" applyBorder="1">
      <alignment vertical="top" wrapText="1"/>
    </xf>
    <xf numFmtId="0" fontId="12" fillId="0" borderId="107" xfId="0" applyNumberFormat="1" applyFont="1" applyBorder="1">
      <alignment vertical="top" wrapText="1"/>
    </xf>
    <xf numFmtId="0" fontId="12" fillId="0" borderId="41" xfId="0" applyNumberFormat="1" applyFont="1" applyBorder="1">
      <alignment vertical="top" wrapText="1"/>
    </xf>
    <xf numFmtId="0" fontId="12" fillId="0" borderId="115" xfId="0" applyNumberFormat="1" applyFont="1" applyBorder="1">
      <alignment vertical="top" wrapText="1"/>
    </xf>
    <xf numFmtId="171" fontId="0" fillId="0" borderId="38" xfId="0" applyNumberFormat="1" applyBorder="1">
      <alignment vertical="top" wrapText="1"/>
    </xf>
    <xf numFmtId="0" fontId="6" fillId="5" borderId="6" xfId="0" applyFont="1" applyFill="1" applyBorder="1" applyProtection="1">
      <alignment vertical="top" wrapText="1"/>
      <protection hidden="1"/>
    </xf>
    <xf numFmtId="0" fontId="0" fillId="5" borderId="6" xfId="0" applyFill="1" applyBorder="1" applyProtection="1">
      <alignment vertical="top" wrapText="1"/>
      <protection hidden="1"/>
    </xf>
    <xf numFmtId="0" fontId="18" fillId="5" borderId="6" xfId="0" applyFont="1" applyFill="1" applyBorder="1" applyAlignment="1" applyProtection="1">
      <alignment horizontal="right" vertical="top" wrapText="1" readingOrder="1"/>
      <protection hidden="1"/>
    </xf>
    <xf numFmtId="171" fontId="0" fillId="5" borderId="6" xfId="0" applyNumberFormat="1" applyFill="1" applyBorder="1" applyProtection="1">
      <alignment vertical="top" wrapText="1"/>
      <protection hidden="1"/>
    </xf>
    <xf numFmtId="171" fontId="18" fillId="5" borderId="6" xfId="0" applyNumberFormat="1" applyFont="1" applyFill="1" applyBorder="1" applyAlignment="1" applyProtection="1">
      <alignment horizontal="right" vertical="top" wrapText="1" readingOrder="1"/>
      <protection hidden="1"/>
    </xf>
    <xf numFmtId="0" fontId="0" fillId="0" borderId="6" xfId="0" applyBorder="1">
      <alignment vertical="top" wrapText="1"/>
    </xf>
    <xf numFmtId="173" fontId="6" fillId="5" borderId="6" xfId="0" applyNumberFormat="1" applyFont="1" applyFill="1" applyBorder="1" applyProtection="1">
      <alignment vertical="top" wrapText="1"/>
      <protection hidden="1"/>
    </xf>
    <xf numFmtId="173" fontId="0" fillId="5" borderId="6" xfId="0" applyNumberFormat="1" applyFill="1" applyBorder="1" applyProtection="1">
      <alignment vertical="top" wrapText="1"/>
      <protection hidden="1"/>
    </xf>
    <xf numFmtId="173" fontId="18" fillId="5" borderId="6" xfId="0" applyNumberFormat="1" applyFont="1" applyFill="1" applyBorder="1" applyAlignment="1" applyProtection="1">
      <alignment horizontal="right" vertical="top" wrapText="1" readingOrder="1"/>
      <protection hidden="1"/>
    </xf>
    <xf numFmtId="171" fontId="6" fillId="5" borderId="6" xfId="0" applyNumberFormat="1" applyFont="1" applyFill="1" applyBorder="1" applyProtection="1">
      <alignment vertical="top" wrapText="1"/>
      <protection hidden="1"/>
    </xf>
    <xf numFmtId="173" fontId="0" fillId="0" borderId="6" xfId="0" applyNumberFormat="1" applyBorder="1">
      <alignment vertical="top" wrapText="1"/>
    </xf>
    <xf numFmtId="171" fontId="0" fillId="0" borderId="6" xfId="0" applyNumberFormat="1" applyBorder="1">
      <alignment vertical="top" wrapText="1"/>
    </xf>
    <xf numFmtId="171" fontId="0" fillId="0" borderId="105" xfId="0" applyNumberFormat="1" applyBorder="1">
      <alignment vertical="top" wrapText="1"/>
    </xf>
    <xf numFmtId="171" fontId="0" fillId="0" borderId="107" xfId="0" applyNumberFormat="1" applyBorder="1">
      <alignment vertical="top" wrapText="1"/>
    </xf>
    <xf numFmtId="171" fontId="0" fillId="0" borderId="108" xfId="0" applyNumberFormat="1" applyBorder="1">
      <alignment vertical="top" wrapText="1"/>
    </xf>
    <xf numFmtId="0" fontId="115" fillId="25" borderId="102" xfId="0" applyNumberFormat="1" applyFont="1" applyFill="1" applyBorder="1">
      <alignment vertical="top" wrapText="1"/>
    </xf>
    <xf numFmtId="0" fontId="115" fillId="25" borderId="103" xfId="0" applyNumberFormat="1" applyFont="1" applyFill="1" applyBorder="1">
      <alignment vertical="top" wrapText="1"/>
    </xf>
    <xf numFmtId="0" fontId="44" fillId="25" borderId="101" xfId="0" applyNumberFormat="1" applyFont="1" applyFill="1" applyBorder="1">
      <alignment vertical="top" wrapText="1"/>
    </xf>
    <xf numFmtId="0" fontId="44" fillId="25" borderId="101" xfId="0" applyNumberFormat="1" applyFont="1" applyFill="1" applyBorder="1" applyAlignment="1">
      <alignment horizontal="center" vertical="top" wrapText="1"/>
    </xf>
    <xf numFmtId="0" fontId="115" fillId="25" borderId="110" xfId="0" applyNumberFormat="1" applyFont="1" applyFill="1" applyBorder="1">
      <alignment vertical="top" wrapText="1"/>
    </xf>
    <xf numFmtId="0" fontId="44" fillId="13" borderId="6" xfId="0" applyNumberFormat="1" applyFont="1" applyFill="1" applyBorder="1">
      <alignment vertical="top" wrapText="1"/>
    </xf>
    <xf numFmtId="0" fontId="115" fillId="13" borderId="6" xfId="0" applyNumberFormat="1" applyFont="1" applyFill="1" applyBorder="1">
      <alignment vertical="top" wrapText="1"/>
    </xf>
    <xf numFmtId="0" fontId="0" fillId="25" borderId="101" xfId="0" applyNumberFormat="1" applyFill="1" applyBorder="1">
      <alignment vertical="top" wrapText="1"/>
    </xf>
    <xf numFmtId="0" fontId="6" fillId="18" borderId="25" xfId="0" applyFont="1" applyFill="1" applyBorder="1" applyProtection="1">
      <alignment vertical="top" wrapText="1"/>
      <protection hidden="1"/>
    </xf>
    <xf numFmtId="165" fontId="6" fillId="28" borderId="25" xfId="0" applyNumberFormat="1" applyFont="1" applyFill="1" applyBorder="1" applyProtection="1">
      <alignment vertical="top" wrapText="1"/>
      <protection hidden="1"/>
    </xf>
    <xf numFmtId="169" fontId="6" fillId="28" borderId="54" xfId="0" applyNumberFormat="1" applyFont="1" applyFill="1" applyBorder="1" applyProtection="1">
      <alignment vertical="top" wrapText="1"/>
      <protection hidden="1"/>
    </xf>
    <xf numFmtId="49" fontId="6" fillId="25" borderId="123" xfId="0" applyNumberFormat="1" applyFont="1" applyFill="1" applyBorder="1" applyProtection="1">
      <alignment vertical="top" wrapText="1"/>
      <protection hidden="1"/>
    </xf>
    <xf numFmtId="0" fontId="0" fillId="5" borderId="95" xfId="0" applyFill="1" applyBorder="1" applyProtection="1">
      <alignment vertical="top" wrapText="1"/>
      <protection hidden="1"/>
    </xf>
    <xf numFmtId="49" fontId="72" fillId="0" borderId="25" xfId="0" applyNumberFormat="1" applyFont="1" applyBorder="1" applyAlignment="1" applyProtection="1">
      <alignment horizontal="right" vertical="top" wrapText="1" readingOrder="1"/>
      <protection locked="0" hidden="1"/>
    </xf>
    <xf numFmtId="49" fontId="72" fillId="3" borderId="25" xfId="0" applyNumberFormat="1" applyFont="1" applyFill="1" applyBorder="1" applyAlignment="1" applyProtection="1">
      <alignment horizontal="right" vertical="top" wrapText="1" readingOrder="1"/>
      <protection locked="0" hidden="1"/>
    </xf>
    <xf numFmtId="49" fontId="14" fillId="3" borderId="25" xfId="0" applyNumberFormat="1" applyFont="1" applyFill="1" applyBorder="1" applyAlignment="1" applyProtection="1">
      <alignment horizontal="right" vertical="top" wrapText="1" readingOrder="1"/>
      <protection locked="0" hidden="1"/>
    </xf>
    <xf numFmtId="49" fontId="73" fillId="5" borderId="25" xfId="0" applyNumberFormat="1" applyFont="1" applyFill="1" applyBorder="1" applyProtection="1">
      <alignment vertical="top" wrapText="1"/>
      <protection locked="0" hidden="1"/>
    </xf>
    <xf numFmtId="173" fontId="77" fillId="0" borderId="6" xfId="0" applyNumberFormat="1" applyFont="1" applyBorder="1">
      <alignment vertical="top" wrapText="1"/>
    </xf>
    <xf numFmtId="0" fontId="44" fillId="12" borderId="39" xfId="0" applyFont="1" applyFill="1" applyBorder="1" applyProtection="1">
      <alignment vertical="top" wrapText="1"/>
      <protection hidden="1"/>
    </xf>
    <xf numFmtId="0" fontId="50" fillId="0" borderId="6" xfId="0" applyNumberFormat="1" applyFont="1" applyBorder="1" applyProtection="1">
      <alignment vertical="top" wrapText="1"/>
      <protection hidden="1"/>
    </xf>
    <xf numFmtId="2" fontId="58" fillId="0" borderId="49" xfId="0" applyNumberFormat="1" applyFont="1" applyBorder="1" applyProtection="1">
      <alignment vertical="top" wrapText="1"/>
      <protection hidden="1"/>
    </xf>
    <xf numFmtId="2" fontId="58" fillId="0" borderId="44" xfId="0" applyNumberFormat="1" applyFont="1" applyBorder="1" applyProtection="1">
      <alignment vertical="top" wrapText="1"/>
      <protection hidden="1"/>
    </xf>
    <xf numFmtId="0" fontId="56" fillId="0" borderId="6" xfId="0" applyFont="1" applyBorder="1" applyProtection="1">
      <alignment vertical="top" wrapText="1"/>
      <protection hidden="1"/>
    </xf>
    <xf numFmtId="0" fontId="54" fillId="0" borderId="6" xfId="0" applyFont="1" applyBorder="1" applyProtection="1">
      <alignment vertical="top" wrapText="1"/>
      <protection hidden="1"/>
    </xf>
    <xf numFmtId="0" fontId="123" fillId="0" borderId="6" xfId="0" applyNumberFormat="1" applyFont="1" applyBorder="1" applyProtection="1">
      <alignment vertical="top" wrapText="1"/>
      <protection hidden="1"/>
    </xf>
    <xf numFmtId="0" fontId="58" fillId="0" borderId="45" xfId="0" applyFont="1" applyBorder="1" applyProtection="1">
      <alignment vertical="top" wrapText="1"/>
      <protection hidden="1"/>
    </xf>
    <xf numFmtId="0" fontId="30" fillId="0" borderId="38" xfId="0" applyNumberFormat="1" applyFont="1" applyBorder="1" applyProtection="1">
      <alignment vertical="top" wrapText="1"/>
      <protection locked="0" hidden="1"/>
    </xf>
    <xf numFmtId="2" fontId="22" fillId="0" borderId="45" xfId="0" applyNumberFormat="1" applyFont="1" applyBorder="1" applyAlignment="1" applyProtection="1">
      <alignment horizontal="left" vertical="top" wrapText="1" readingOrder="1"/>
      <protection hidden="1"/>
    </xf>
    <xf numFmtId="0" fontId="98" fillId="0" borderId="6" xfId="0" applyFont="1" applyBorder="1" applyProtection="1">
      <alignment vertical="top" wrapText="1"/>
      <protection locked="0" hidden="1"/>
    </xf>
    <xf numFmtId="49" fontId="6" fillId="2" borderId="5" xfId="0" applyNumberFormat="1" applyFont="1" applyFill="1" applyBorder="1" applyAlignment="1" applyProtection="1">
      <alignment horizontal="left" vertical="top" wrapText="1"/>
      <protection hidden="1"/>
    </xf>
    <xf numFmtId="14" fontId="56" fillId="0" borderId="46" xfId="0" applyNumberFormat="1" applyFont="1" applyBorder="1" applyAlignment="1" applyProtection="1">
      <alignment horizontal="center" vertical="top" wrapText="1" readingOrder="1"/>
      <protection hidden="1"/>
    </xf>
    <xf numFmtId="0" fontId="125" fillId="0" borderId="42" xfId="0" applyNumberFormat="1" applyFont="1" applyBorder="1" applyAlignment="1" applyProtection="1">
      <alignment horizontal="center" vertical="top" wrapText="1"/>
      <protection locked="0" hidden="1"/>
    </xf>
    <xf numFmtId="14" fontId="56" fillId="0" borderId="41" xfId="0" applyNumberFormat="1" applyFont="1" applyBorder="1" applyAlignment="1" applyProtection="1">
      <alignment horizontal="left" vertical="top" wrapText="1" readingOrder="1"/>
      <protection hidden="1"/>
    </xf>
    <xf numFmtId="2" fontId="22" fillId="0" borderId="45" xfId="0" applyNumberFormat="1" applyFont="1" applyBorder="1" applyAlignment="1" applyProtection="1">
      <alignment horizontal="center" vertical="top" wrapText="1" readingOrder="1"/>
      <protection hidden="1"/>
    </xf>
    <xf numFmtId="0" fontId="0" fillId="0" borderId="51" xfId="0" applyNumberFormat="1" applyBorder="1" applyProtection="1">
      <alignment vertical="top" wrapText="1"/>
      <protection hidden="1"/>
    </xf>
    <xf numFmtId="0" fontId="0" fillId="0" borderId="6" xfId="0" applyNumberFormat="1" applyBorder="1" applyAlignment="1" applyProtection="1">
      <alignment horizontal="left" vertical="top" wrapText="1"/>
      <protection hidden="1"/>
    </xf>
    <xf numFmtId="0" fontId="44" fillId="0" borderId="6" xfId="0" applyNumberFormat="1" applyFont="1" applyBorder="1" applyProtection="1">
      <alignment vertical="top" wrapText="1"/>
      <protection hidden="1"/>
    </xf>
    <xf numFmtId="0" fontId="126" fillId="0" borderId="6" xfId="0" applyNumberFormat="1" applyFont="1" applyBorder="1" applyAlignment="1" applyProtection="1">
      <alignment horizontal="right" vertical="top" wrapText="1"/>
      <protection hidden="1"/>
    </xf>
    <xf numFmtId="0" fontId="57" fillId="0" borderId="6" xfId="0" applyNumberFormat="1" applyFont="1" applyBorder="1" applyProtection="1">
      <alignment vertical="top" wrapText="1"/>
      <protection hidden="1"/>
    </xf>
    <xf numFmtId="0" fontId="7" fillId="0" borderId="100" xfId="0" applyNumberFormat="1" applyFont="1" applyBorder="1" applyProtection="1">
      <alignment vertical="top" wrapText="1"/>
      <protection hidden="1"/>
    </xf>
    <xf numFmtId="0" fontId="7" fillId="0" borderId="128" xfId="0" applyNumberFormat="1" applyFont="1" applyBorder="1" applyProtection="1">
      <alignment vertical="top" wrapText="1"/>
      <protection hidden="1"/>
    </xf>
    <xf numFmtId="0" fontId="7" fillId="0" borderId="6" xfId="0" applyNumberFormat="1" applyFont="1" applyBorder="1" applyProtection="1">
      <alignment vertical="top" wrapText="1"/>
      <protection hidden="1"/>
    </xf>
    <xf numFmtId="0" fontId="0" fillId="0" borderId="6" xfId="0" applyNumberFormat="1" applyBorder="1" applyAlignment="1" applyProtection="1">
      <alignment horizontal="center" vertical="top" wrapText="1"/>
      <protection hidden="1"/>
    </xf>
    <xf numFmtId="1" fontId="12" fillId="0" borderId="102" xfId="0" applyNumberFormat="1" applyFont="1" applyBorder="1" applyProtection="1">
      <alignment vertical="top" wrapText="1"/>
      <protection hidden="1"/>
    </xf>
    <xf numFmtId="1" fontId="12" fillId="0" borderId="38" xfId="0" applyNumberFormat="1" applyFont="1" applyBorder="1" applyProtection="1">
      <alignment vertical="top" wrapText="1"/>
      <protection hidden="1"/>
    </xf>
    <xf numFmtId="1" fontId="12" fillId="0" borderId="107" xfId="0" applyNumberFormat="1" applyFont="1" applyBorder="1" applyProtection="1">
      <alignment vertical="top" wrapText="1"/>
      <protection hidden="1"/>
    </xf>
    <xf numFmtId="0" fontId="51" fillId="0" borderId="6" xfId="0" applyNumberFormat="1" applyFont="1" applyBorder="1" applyProtection="1">
      <alignment vertical="top" wrapText="1"/>
      <protection hidden="1"/>
    </xf>
    <xf numFmtId="0" fontId="1" fillId="0" borderId="41" xfId="0" applyNumberFormat="1" applyFont="1" applyBorder="1" applyAlignment="1" applyProtection="1">
      <alignment horizontal="left" vertical="top" wrapText="1"/>
      <protection hidden="1"/>
    </xf>
    <xf numFmtId="0" fontId="1" fillId="0" borderId="50" xfId="0" applyNumberFormat="1" applyFont="1" applyBorder="1" applyProtection="1">
      <alignment vertical="top" wrapText="1"/>
      <protection hidden="1"/>
    </xf>
    <xf numFmtId="0" fontId="1" fillId="0" borderId="6" xfId="0" applyNumberFormat="1" applyFont="1" applyBorder="1" applyProtection="1">
      <alignment vertical="top" wrapText="1"/>
      <protection hidden="1"/>
    </xf>
    <xf numFmtId="1" fontId="126" fillId="0" borderId="6" xfId="0" applyNumberFormat="1" applyFont="1" applyBorder="1" applyAlignment="1" applyProtection="1">
      <alignment horizontal="center" vertical="top" wrapText="1"/>
      <protection hidden="1"/>
    </xf>
    <xf numFmtId="0" fontId="126" fillId="0" borderId="6" xfId="0" applyNumberFormat="1" applyFont="1" applyBorder="1" applyAlignment="1" applyProtection="1">
      <alignment horizontal="left" vertical="top" wrapText="1"/>
      <protection hidden="1"/>
    </xf>
    <xf numFmtId="1" fontId="57" fillId="0" borderId="6" xfId="0" applyNumberFormat="1" applyFont="1" applyBorder="1" applyAlignment="1" applyProtection="1">
      <alignment horizontal="center" vertical="top" wrapText="1"/>
      <protection hidden="1"/>
    </xf>
    <xf numFmtId="0" fontId="57" fillId="0" borderId="6" xfId="0" applyNumberFormat="1" applyFont="1" applyBorder="1" applyAlignment="1" applyProtection="1">
      <alignment horizontal="left" vertical="top" wrapText="1"/>
      <protection hidden="1"/>
    </xf>
    <xf numFmtId="1" fontId="1" fillId="0" borderId="6" xfId="0" applyNumberFormat="1" applyFont="1" applyBorder="1" applyProtection="1">
      <alignment vertical="top" wrapText="1"/>
      <protection hidden="1"/>
    </xf>
    <xf numFmtId="1" fontId="12" fillId="0" borderId="39" xfId="0" applyNumberFormat="1" applyFont="1" applyBorder="1" applyProtection="1">
      <alignment vertical="top" wrapText="1"/>
      <protection hidden="1"/>
    </xf>
    <xf numFmtId="1" fontId="127" fillId="0" borderId="6" xfId="0" applyNumberFormat="1" applyFont="1" applyBorder="1" applyProtection="1">
      <alignment vertical="top" wrapText="1"/>
      <protection hidden="1"/>
    </xf>
    <xf numFmtId="0" fontId="1" fillId="0" borderId="110" xfId="0" applyNumberFormat="1" applyFont="1" applyBorder="1" applyAlignment="1" applyProtection="1">
      <alignment horizontal="left" vertical="top" wrapText="1"/>
      <protection hidden="1"/>
    </xf>
    <xf numFmtId="0" fontId="1" fillId="0" borderId="135" xfId="0" applyNumberFormat="1" applyFont="1" applyBorder="1" applyProtection="1">
      <alignment vertical="top" wrapText="1"/>
      <protection hidden="1"/>
    </xf>
    <xf numFmtId="0" fontId="1" fillId="0" borderId="103" xfId="0" applyNumberFormat="1" applyFont="1" applyBorder="1" applyAlignment="1" applyProtection="1">
      <alignment horizontal="left" vertical="top" wrapText="1"/>
      <protection hidden="1"/>
    </xf>
    <xf numFmtId="0" fontId="1" fillId="0" borderId="105" xfId="0" applyNumberFormat="1" applyFont="1" applyBorder="1" applyAlignment="1" applyProtection="1">
      <alignment horizontal="left" vertical="top" wrapText="1"/>
      <protection hidden="1"/>
    </xf>
    <xf numFmtId="0" fontId="1" fillId="0" borderId="115" xfId="0" applyNumberFormat="1" applyFont="1" applyBorder="1" applyAlignment="1" applyProtection="1">
      <alignment horizontal="left" vertical="top" wrapText="1"/>
      <protection hidden="1"/>
    </xf>
    <xf numFmtId="0" fontId="1" fillId="0" borderId="124" xfId="0" applyNumberFormat="1" applyFont="1" applyBorder="1" applyProtection="1">
      <alignment vertical="top" wrapText="1"/>
      <protection hidden="1"/>
    </xf>
    <xf numFmtId="1" fontId="1" fillId="0" borderId="114" xfId="0" applyNumberFormat="1" applyFont="1" applyBorder="1" applyProtection="1">
      <alignment vertical="top" wrapText="1"/>
      <protection hidden="1"/>
    </xf>
    <xf numFmtId="0" fontId="1" fillId="0" borderId="139" xfId="0" applyNumberFormat="1" applyFont="1" applyBorder="1" applyAlignment="1" applyProtection="1">
      <alignment horizontal="left" vertical="top" wrapText="1"/>
      <protection hidden="1"/>
    </xf>
    <xf numFmtId="1" fontId="12" fillId="0" borderId="101" xfId="0" applyNumberFormat="1" applyFont="1" applyBorder="1" applyAlignment="1" applyProtection="1">
      <alignment horizontal="center" vertical="top" wrapText="1"/>
      <protection hidden="1"/>
    </xf>
    <xf numFmtId="1" fontId="12" fillId="0" borderId="104" xfId="0" applyNumberFormat="1" applyFont="1" applyBorder="1" applyAlignment="1" applyProtection="1">
      <alignment horizontal="center" vertical="top" wrapText="1"/>
      <protection hidden="1"/>
    </xf>
    <xf numFmtId="1" fontId="12" fillId="0" borderId="106" xfId="0" applyNumberFormat="1" applyFont="1" applyBorder="1" applyAlignment="1" applyProtection="1">
      <alignment horizontal="center" vertical="top" wrapText="1"/>
      <protection hidden="1"/>
    </xf>
    <xf numFmtId="1" fontId="127" fillId="0" borderId="6" xfId="0" applyNumberFormat="1" applyFont="1" applyBorder="1" applyAlignment="1" applyProtection="1">
      <alignment horizontal="center" vertical="top" wrapText="1"/>
      <protection hidden="1"/>
    </xf>
    <xf numFmtId="0" fontId="0" fillId="0" borderId="0" xfId="0" applyNumberFormat="1" applyAlignment="1" applyProtection="1">
      <alignment horizontal="right" vertical="top" wrapText="1"/>
      <protection hidden="1"/>
    </xf>
    <xf numFmtId="1" fontId="1" fillId="0" borderId="114" xfId="0" applyNumberFormat="1" applyFont="1" applyBorder="1" applyAlignment="1" applyProtection="1">
      <alignment horizontal="right" vertical="top" wrapText="1"/>
      <protection hidden="1"/>
    </xf>
    <xf numFmtId="0" fontId="0" fillId="0" borderId="6" xfId="0" applyNumberFormat="1" applyBorder="1" applyAlignment="1" applyProtection="1">
      <alignment horizontal="right" vertical="top" wrapText="1"/>
      <protection hidden="1"/>
    </xf>
    <xf numFmtId="1" fontId="12" fillId="0" borderId="101" xfId="0" applyNumberFormat="1" applyFont="1" applyBorder="1" applyAlignment="1" applyProtection="1">
      <alignment horizontal="right" vertical="top" wrapText="1"/>
      <protection hidden="1"/>
    </xf>
    <xf numFmtId="1" fontId="127" fillId="0" borderId="6" xfId="0" applyNumberFormat="1" applyFont="1" applyBorder="1" applyAlignment="1" applyProtection="1">
      <alignment horizontal="right" vertical="top" wrapText="1"/>
      <protection hidden="1"/>
    </xf>
    <xf numFmtId="1" fontId="12" fillId="0" borderId="111" xfId="0" applyNumberFormat="1" applyFont="1" applyBorder="1" applyAlignment="1" applyProtection="1">
      <alignment horizontal="right" vertical="top" wrapText="1"/>
      <protection hidden="1"/>
    </xf>
    <xf numFmtId="1" fontId="12" fillId="0" borderId="42" xfId="0" applyNumberFormat="1" applyFont="1" applyBorder="1" applyAlignment="1" applyProtection="1">
      <alignment horizontal="right" vertical="top" wrapText="1"/>
      <protection hidden="1"/>
    </xf>
    <xf numFmtId="1" fontId="12" fillId="0" borderId="49" xfId="0" applyNumberFormat="1" applyFont="1" applyBorder="1" applyAlignment="1" applyProtection="1">
      <alignment horizontal="right" vertical="top" wrapText="1"/>
      <protection hidden="1"/>
    </xf>
    <xf numFmtId="0" fontId="1" fillId="0" borderId="134" xfId="0" applyNumberFormat="1" applyFont="1" applyBorder="1" applyAlignment="1" applyProtection="1">
      <alignment horizontal="left" vertical="top" wrapText="1"/>
      <protection hidden="1"/>
    </xf>
    <xf numFmtId="0" fontId="0" fillId="25" borderId="0" xfId="0" applyNumberFormat="1" applyFill="1" applyProtection="1">
      <alignment vertical="top" wrapText="1"/>
      <protection hidden="1"/>
    </xf>
    <xf numFmtId="0" fontId="0" fillId="25" borderId="0" xfId="0" applyNumberFormat="1" applyFill="1" applyAlignment="1" applyProtection="1">
      <alignment horizontal="right" vertical="top" wrapText="1"/>
      <protection hidden="1"/>
    </xf>
    <xf numFmtId="2" fontId="84" fillId="25" borderId="6" xfId="0" applyNumberFormat="1" applyFont="1" applyFill="1" applyBorder="1" applyAlignment="1" applyProtection="1">
      <alignment horizontal="center" vertical="top" wrapText="1"/>
      <protection hidden="1"/>
    </xf>
    <xf numFmtId="2" fontId="82" fillId="25" borderId="6" xfId="0" applyNumberFormat="1" applyFont="1" applyFill="1" applyBorder="1" applyProtection="1">
      <alignment vertical="top" wrapText="1"/>
      <protection hidden="1"/>
    </xf>
    <xf numFmtId="2" fontId="82" fillId="25" borderId="6" xfId="0" applyNumberFormat="1" applyFont="1" applyFill="1" applyBorder="1" applyAlignment="1" applyProtection="1">
      <alignment horizontal="center" vertical="top" wrapText="1"/>
      <protection hidden="1"/>
    </xf>
    <xf numFmtId="0" fontId="17" fillId="4" borderId="141" xfId="0" applyFont="1" applyFill="1" applyBorder="1" applyAlignment="1" applyProtection="1">
      <alignment horizontal="left" vertical="center" wrapText="1" readingOrder="1"/>
      <protection hidden="1"/>
    </xf>
    <xf numFmtId="49" fontId="18" fillId="0" borderId="104" xfId="0" applyNumberFormat="1" applyFont="1" applyBorder="1" applyAlignment="1" applyProtection="1">
      <alignment horizontal="left" vertical="top" wrapText="1" readingOrder="1"/>
      <protection hidden="1"/>
    </xf>
    <xf numFmtId="0" fontId="21" fillId="0" borderId="143" xfId="0" applyFont="1" applyBorder="1" applyProtection="1">
      <alignment vertical="top" wrapText="1"/>
      <protection hidden="1"/>
    </xf>
    <xf numFmtId="0" fontId="21" fillId="0" borderId="122" xfId="0" applyFont="1" applyBorder="1" applyProtection="1">
      <alignment vertical="top" wrapText="1"/>
      <protection hidden="1"/>
    </xf>
    <xf numFmtId="0" fontId="55" fillId="13" borderId="122" xfId="0" applyNumberFormat="1" applyFont="1" applyFill="1" applyBorder="1" applyProtection="1">
      <alignment vertical="top" wrapText="1"/>
      <protection hidden="1"/>
    </xf>
    <xf numFmtId="49" fontId="50" fillId="0" borderId="143" xfId="0" applyNumberFormat="1" applyFont="1" applyBorder="1" applyAlignment="1" applyProtection="1">
      <alignment horizontal="left" vertical="top" wrapText="1" readingOrder="1"/>
      <protection hidden="1"/>
    </xf>
    <xf numFmtId="49" fontId="50" fillId="0" borderId="104" xfId="0" applyNumberFormat="1" applyFont="1" applyBorder="1" applyAlignment="1" applyProtection="1">
      <alignment horizontal="left" vertical="top" wrapText="1" readingOrder="1"/>
      <protection hidden="1"/>
    </xf>
    <xf numFmtId="0" fontId="50" fillId="0" borderId="122" xfId="0" applyNumberFormat="1" applyFont="1" applyBorder="1" applyAlignment="1" applyProtection="1">
      <alignment horizontal="left" vertical="top" wrapText="1" readingOrder="1"/>
      <protection hidden="1"/>
    </xf>
    <xf numFmtId="0" fontId="61" fillId="0" borderId="122" xfId="0" applyNumberFormat="1" applyFont="1" applyBorder="1" applyProtection="1">
      <alignment vertical="top" wrapText="1"/>
      <protection hidden="1"/>
    </xf>
    <xf numFmtId="0" fontId="56" fillId="0" borderId="122" xfId="0" applyNumberFormat="1" applyFont="1" applyBorder="1" applyProtection="1">
      <alignment vertical="top" wrapText="1"/>
      <protection hidden="1"/>
    </xf>
    <xf numFmtId="0" fontId="58" fillId="0" borderId="122" xfId="0" applyFont="1" applyBorder="1" applyProtection="1">
      <alignment vertical="top" wrapText="1"/>
      <protection hidden="1"/>
    </xf>
    <xf numFmtId="0" fontId="57" fillId="0" borderId="122" xfId="0" applyFont="1" applyBorder="1" applyProtection="1">
      <alignment vertical="top" wrapText="1"/>
      <protection hidden="1"/>
    </xf>
    <xf numFmtId="0" fontId="123" fillId="0" borderId="122" xfId="0" applyFont="1" applyBorder="1" applyProtection="1">
      <alignment vertical="top" wrapText="1"/>
      <protection hidden="1"/>
    </xf>
    <xf numFmtId="0" fontId="58" fillId="0" borderId="141" xfId="0" applyFont="1" applyBorder="1" applyProtection="1">
      <alignment vertical="top" wrapText="1"/>
      <protection hidden="1"/>
    </xf>
    <xf numFmtId="2" fontId="22" fillId="0" borderId="136" xfId="0" applyNumberFormat="1" applyFont="1" applyBorder="1" applyAlignment="1" applyProtection="1">
      <alignment horizontal="center" vertical="top" wrapText="1" readingOrder="1"/>
      <protection hidden="1"/>
    </xf>
    <xf numFmtId="2" fontId="22" fillId="0" borderId="141" xfId="0" applyNumberFormat="1" applyFont="1" applyBorder="1" applyAlignment="1" applyProtection="1">
      <alignment horizontal="left" vertical="top" wrapText="1" readingOrder="1"/>
      <protection hidden="1"/>
    </xf>
    <xf numFmtId="0" fontId="0" fillId="25" borderId="6" xfId="0" applyNumberFormat="1" applyFill="1" applyBorder="1" applyAlignment="1" applyProtection="1">
      <alignment horizontal="left" vertical="top" wrapText="1"/>
      <protection hidden="1"/>
    </xf>
    <xf numFmtId="0" fontId="0" fillId="25" borderId="6" xfId="0" applyNumberFormat="1" applyFill="1" applyBorder="1" applyProtection="1">
      <alignment vertical="top" wrapText="1"/>
      <protection hidden="1"/>
    </xf>
    <xf numFmtId="49" fontId="18" fillId="4" borderId="104" xfId="0" applyNumberFormat="1" applyFont="1" applyFill="1" applyBorder="1" applyAlignment="1" applyProtection="1">
      <alignment horizontal="left" vertical="top" wrapText="1" readingOrder="1"/>
      <protection hidden="1"/>
    </xf>
    <xf numFmtId="169" fontId="44" fillId="0" borderId="122" xfId="0" applyNumberFormat="1" applyFont="1" applyBorder="1" applyProtection="1">
      <alignment vertical="top" wrapText="1"/>
      <protection hidden="1"/>
    </xf>
    <xf numFmtId="0" fontId="47" fillId="0" borderId="141" xfId="0" applyFont="1" applyBorder="1" applyProtection="1">
      <alignment vertical="top" wrapText="1"/>
      <protection hidden="1"/>
    </xf>
    <xf numFmtId="49" fontId="8" fillId="5" borderId="6" xfId="0" applyNumberFormat="1" applyFont="1" applyFill="1" applyBorder="1" applyAlignment="1" applyProtection="1">
      <alignment horizontal="right" vertical="top" wrapText="1"/>
      <protection hidden="1"/>
    </xf>
    <xf numFmtId="0" fontId="49" fillId="5" borderId="6" xfId="0" applyFont="1" applyFill="1" applyBorder="1" applyAlignment="1" applyProtection="1">
      <alignment horizontal="right" vertical="top" wrapText="1"/>
      <protection hidden="1"/>
    </xf>
    <xf numFmtId="0" fontId="127" fillId="0" borderId="26" xfId="0" applyFont="1" applyBorder="1" applyProtection="1">
      <alignment vertical="top" wrapText="1"/>
      <protection hidden="1"/>
    </xf>
    <xf numFmtId="165" fontId="43" fillId="5" borderId="94" xfId="0" applyNumberFormat="1" applyFont="1" applyFill="1" applyBorder="1" applyAlignment="1" applyProtection="1">
      <alignment horizontal="center" vertical="top" wrapText="1"/>
      <protection locked="0" hidden="1"/>
    </xf>
    <xf numFmtId="0" fontId="32" fillId="5" borderId="28" xfId="0" applyNumberFormat="1" applyFont="1" applyFill="1" applyBorder="1" applyProtection="1">
      <alignment vertical="top" wrapText="1"/>
      <protection hidden="1"/>
    </xf>
    <xf numFmtId="167" fontId="40" fillId="5" borderId="28" xfId="0" applyNumberFormat="1" applyFont="1" applyFill="1" applyBorder="1" applyProtection="1">
      <alignment vertical="top" wrapText="1"/>
      <protection hidden="1"/>
    </xf>
    <xf numFmtId="0" fontId="42" fillId="5" borderId="28" xfId="0" applyNumberFormat="1" applyFont="1" applyFill="1" applyBorder="1" applyProtection="1">
      <alignment vertical="top" wrapText="1"/>
      <protection hidden="1"/>
    </xf>
    <xf numFmtId="164" fontId="34" fillId="5" borderId="99" xfId="0" applyNumberFormat="1" applyFont="1" applyFill="1" applyBorder="1" applyAlignment="1" applyProtection="1">
      <alignment vertical="top" wrapText="1" readingOrder="1"/>
      <protection hidden="1"/>
    </xf>
    <xf numFmtId="0" fontId="22" fillId="5" borderId="26" xfId="0" applyNumberFormat="1" applyFont="1" applyFill="1" applyBorder="1" applyAlignment="1" applyProtection="1">
      <alignment horizontal="right" vertical="top" wrapText="1" readingOrder="1"/>
      <protection hidden="1"/>
    </xf>
    <xf numFmtId="49" fontId="6" fillId="27" borderId="35" xfId="0" applyNumberFormat="1" applyFont="1" applyFill="1" applyBorder="1" applyProtection="1">
      <alignment vertical="top" wrapText="1"/>
      <protection hidden="1"/>
    </xf>
    <xf numFmtId="49" fontId="6" fillId="27" borderId="36" xfId="0" applyNumberFormat="1" applyFont="1" applyFill="1" applyBorder="1" applyAlignment="1" applyProtection="1">
      <alignment horizontal="center" vertical="top" wrapText="1"/>
      <protection hidden="1"/>
    </xf>
    <xf numFmtId="49" fontId="0" fillId="27" borderId="67" xfId="0" applyNumberFormat="1" applyFill="1" applyBorder="1" applyProtection="1">
      <alignment vertical="top" wrapText="1"/>
      <protection hidden="1"/>
    </xf>
    <xf numFmtId="49" fontId="6" fillId="27" borderId="1" xfId="0" applyNumberFormat="1" applyFont="1" applyFill="1" applyBorder="1" applyProtection="1">
      <alignment vertical="top" wrapText="1"/>
      <protection hidden="1"/>
    </xf>
    <xf numFmtId="49" fontId="6" fillId="27" borderId="59" xfId="0" applyNumberFormat="1" applyFont="1" applyFill="1" applyBorder="1" applyProtection="1">
      <alignment vertical="top" wrapText="1"/>
      <protection hidden="1"/>
    </xf>
    <xf numFmtId="0" fontId="32" fillId="27" borderId="6" xfId="0" applyFont="1" applyFill="1" applyBorder="1" applyProtection="1">
      <alignment vertical="top" wrapText="1"/>
      <protection hidden="1"/>
    </xf>
    <xf numFmtId="0" fontId="12" fillId="0" borderId="0" xfId="0" applyFont="1" applyAlignment="1" applyProtection="1">
      <alignment horizontal="center" vertical="center"/>
      <protection hidden="1"/>
    </xf>
    <xf numFmtId="0" fontId="6" fillId="2" borderId="31" xfId="0" applyFont="1" applyFill="1" applyBorder="1" applyProtection="1">
      <alignment vertical="top" wrapText="1"/>
      <protection hidden="1"/>
    </xf>
    <xf numFmtId="0" fontId="6" fillId="2" borderId="82" xfId="0" applyFont="1" applyFill="1" applyBorder="1" applyProtection="1">
      <alignment vertical="top" wrapText="1"/>
      <protection hidden="1"/>
    </xf>
    <xf numFmtId="0" fontId="6" fillId="2" borderId="83" xfId="0" applyFont="1" applyFill="1" applyBorder="1" applyProtection="1">
      <alignment vertical="top" wrapText="1"/>
      <protection hidden="1"/>
    </xf>
    <xf numFmtId="0" fontId="35" fillId="10" borderId="1" xfId="0" applyNumberFormat="1" applyFont="1" applyFill="1" applyBorder="1" applyProtection="1">
      <alignment vertical="top" wrapText="1"/>
      <protection hidden="1"/>
    </xf>
    <xf numFmtId="0" fontId="6" fillId="10" borderId="1" xfId="0" applyFont="1" applyFill="1" applyBorder="1" applyProtection="1">
      <alignment vertical="top" wrapText="1"/>
      <protection hidden="1"/>
    </xf>
    <xf numFmtId="0" fontId="6" fillId="10" borderId="1" xfId="0" applyFont="1" applyFill="1" applyBorder="1" applyAlignment="1" applyProtection="1">
      <alignment horizontal="center" vertical="top" wrapText="1"/>
      <protection hidden="1"/>
    </xf>
    <xf numFmtId="0" fontId="12" fillId="30" borderId="38" xfId="0" applyFont="1" applyFill="1" applyBorder="1" applyAlignment="1" applyProtection="1">
      <alignment horizontal="right" vertical="top" wrapText="1"/>
      <protection hidden="1"/>
    </xf>
    <xf numFmtId="0" fontId="12" fillId="30" borderId="39" xfId="0" applyFont="1" applyFill="1" applyBorder="1" applyAlignment="1" applyProtection="1">
      <alignment horizontal="right" vertical="top" wrapText="1"/>
      <protection hidden="1"/>
    </xf>
    <xf numFmtId="49" fontId="6" fillId="10" borderId="146" xfId="0" applyNumberFormat="1" applyFont="1" applyFill="1" applyBorder="1" applyAlignment="1" applyProtection="1">
      <alignment horizontal="center" vertical="top" wrapText="1"/>
      <protection hidden="1"/>
    </xf>
    <xf numFmtId="49" fontId="6" fillId="10" borderId="86" xfId="0" applyNumberFormat="1" applyFont="1" applyFill="1" applyBorder="1" applyAlignment="1" applyProtection="1">
      <alignment horizontal="center" vertical="top" wrapText="1"/>
      <protection hidden="1"/>
    </xf>
    <xf numFmtId="0" fontId="35" fillId="10" borderId="3" xfId="0" applyNumberFormat="1" applyFont="1" applyFill="1" applyBorder="1" applyProtection="1">
      <alignment vertical="top" wrapText="1"/>
      <protection hidden="1"/>
    </xf>
    <xf numFmtId="0" fontId="35" fillId="10" borderId="20" xfId="0" applyNumberFormat="1" applyFont="1" applyFill="1" applyBorder="1" applyProtection="1">
      <alignment vertical="top" wrapText="1"/>
      <protection hidden="1"/>
    </xf>
    <xf numFmtId="0" fontId="6" fillId="10" borderId="3" xfId="0" applyFont="1" applyFill="1" applyBorder="1" applyAlignment="1" applyProtection="1">
      <alignment horizontal="center" vertical="top" wrapText="1"/>
      <protection hidden="1"/>
    </xf>
    <xf numFmtId="0" fontId="6" fillId="10" borderId="20" xfId="0" applyFont="1" applyFill="1" applyBorder="1" applyAlignment="1" applyProtection="1">
      <alignment horizontal="center" vertical="top" wrapText="1"/>
      <protection hidden="1"/>
    </xf>
    <xf numFmtId="0" fontId="129" fillId="5" borderId="6" xfId="0" applyFont="1" applyFill="1" applyBorder="1" applyProtection="1">
      <alignment vertical="top" wrapText="1"/>
      <protection hidden="1"/>
    </xf>
    <xf numFmtId="0" fontId="130" fillId="27" borderId="6" xfId="0" applyFont="1" applyFill="1" applyBorder="1" applyProtection="1">
      <alignment vertical="top" wrapText="1"/>
      <protection hidden="1"/>
    </xf>
    <xf numFmtId="164" fontId="8" fillId="5" borderId="26" xfId="0" applyNumberFormat="1" applyFont="1" applyFill="1" applyBorder="1" applyProtection="1">
      <alignment vertical="top" wrapText="1"/>
      <protection hidden="1"/>
    </xf>
    <xf numFmtId="0" fontId="31" fillId="2" borderId="20" xfId="0" applyFont="1" applyFill="1" applyBorder="1" applyProtection="1">
      <alignment vertical="top" wrapText="1"/>
      <protection hidden="1"/>
    </xf>
    <xf numFmtId="14" fontId="104" fillId="7" borderId="20" xfId="0" applyNumberFormat="1" applyFont="1" applyFill="1" applyBorder="1" applyProtection="1">
      <alignment vertical="top" wrapText="1"/>
      <protection hidden="1"/>
    </xf>
    <xf numFmtId="0" fontId="6" fillId="5" borderId="6" xfId="0" applyFont="1" applyFill="1" applyBorder="1" applyAlignment="1" applyProtection="1">
      <alignment horizontal="center" vertical="top" wrapText="1"/>
      <protection hidden="1"/>
    </xf>
    <xf numFmtId="164" fontId="44" fillId="5" borderId="6" xfId="0" applyNumberFormat="1" applyFont="1" applyFill="1" applyBorder="1" applyProtection="1">
      <alignment vertical="top" wrapText="1"/>
      <protection hidden="1"/>
    </xf>
    <xf numFmtId="49" fontId="49" fillId="5" borderId="6" xfId="0" applyNumberFormat="1" applyFont="1" applyFill="1" applyBorder="1" applyProtection="1">
      <alignment vertical="top" wrapText="1"/>
      <protection hidden="1"/>
    </xf>
    <xf numFmtId="0" fontId="44" fillId="5" borderId="6" xfId="0" applyFont="1" applyFill="1" applyBorder="1" applyProtection="1">
      <alignment vertical="top" wrapText="1"/>
      <protection hidden="1"/>
    </xf>
    <xf numFmtId="0" fontId="44" fillId="5" borderId="28" xfId="0" applyNumberFormat="1" applyFont="1" applyFill="1" applyBorder="1" applyProtection="1">
      <alignment vertical="top" wrapText="1"/>
      <protection hidden="1"/>
    </xf>
    <xf numFmtId="164" fontId="47" fillId="5" borderId="7" xfId="0" applyNumberFormat="1" applyFont="1" applyFill="1" applyBorder="1" applyAlignment="1" applyProtection="1">
      <alignment vertical="top" wrapText="1" readingOrder="1"/>
      <protection hidden="1"/>
    </xf>
    <xf numFmtId="167" fontId="44" fillId="5" borderId="28" xfId="0" applyNumberFormat="1" applyFont="1" applyFill="1" applyBorder="1" applyProtection="1">
      <alignment vertical="top" wrapText="1"/>
      <protection hidden="1"/>
    </xf>
    <xf numFmtId="0" fontId="0" fillId="25" borderId="0" xfId="0" applyNumberFormat="1" applyFill="1" applyAlignment="1" applyProtection="1">
      <alignment horizontal="center" vertical="top" wrapText="1"/>
      <protection hidden="1"/>
    </xf>
    <xf numFmtId="171" fontId="0" fillId="13" borderId="0" xfId="0" applyNumberFormat="1" applyFill="1" applyAlignment="1" applyProtection="1">
      <alignment horizontal="center" vertical="top" wrapText="1"/>
      <protection hidden="1"/>
    </xf>
    <xf numFmtId="0" fontId="6" fillId="5" borderId="45" xfId="0" applyFont="1" applyFill="1" applyBorder="1" applyAlignment="1" applyProtection="1">
      <alignment horizontal="center" vertical="top" wrapText="1"/>
      <protection hidden="1"/>
    </xf>
    <xf numFmtId="165" fontId="43" fillId="5" borderId="28" xfId="0" applyNumberFormat="1" applyFont="1" applyFill="1" applyBorder="1" applyAlignment="1" applyProtection="1">
      <alignment horizontal="center" vertical="top" wrapText="1"/>
      <protection hidden="1"/>
    </xf>
    <xf numFmtId="171" fontId="0" fillId="25" borderId="0" xfId="0" applyNumberFormat="1" applyFill="1" applyAlignment="1" applyProtection="1">
      <alignment horizontal="center" vertical="top" wrapText="1"/>
      <protection hidden="1"/>
    </xf>
    <xf numFmtId="165" fontId="43" fillId="27" borderId="28" xfId="0" applyNumberFormat="1" applyFont="1" applyFill="1" applyBorder="1" applyAlignment="1" applyProtection="1">
      <alignment horizontal="center" vertical="top" wrapText="1"/>
      <protection hidden="1"/>
    </xf>
    <xf numFmtId="0" fontId="0" fillId="13" borderId="0" xfId="0" applyNumberFormat="1" applyFill="1" applyAlignment="1" applyProtection="1">
      <alignment horizontal="center" vertical="top" wrapText="1"/>
      <protection hidden="1"/>
    </xf>
    <xf numFmtId="0" fontId="44" fillId="0" borderId="0" xfId="0" applyFont="1" applyProtection="1">
      <alignment vertical="top" wrapText="1"/>
      <protection hidden="1"/>
    </xf>
    <xf numFmtId="0" fontId="44" fillId="0" borderId="0" xfId="0" applyNumberFormat="1" applyFont="1" applyProtection="1">
      <alignment vertical="top" wrapText="1"/>
      <protection hidden="1"/>
    </xf>
    <xf numFmtId="0" fontId="6" fillId="3" borderId="6" xfId="0" applyFont="1" applyFill="1" applyBorder="1" applyAlignment="1" applyProtection="1">
      <alignment horizontal="right" vertical="top" wrapText="1"/>
      <protection hidden="1"/>
    </xf>
    <xf numFmtId="0" fontId="6" fillId="31" borderId="89" xfId="0" applyFont="1" applyFill="1" applyBorder="1" applyAlignment="1" applyProtection="1">
      <alignment horizontal="center" vertical="top" wrapText="1"/>
      <protection hidden="1"/>
    </xf>
    <xf numFmtId="0" fontId="47" fillId="0" borderId="46" xfId="0" applyFont="1" applyBorder="1" applyProtection="1">
      <alignment vertical="top" wrapText="1"/>
      <protection hidden="1"/>
    </xf>
    <xf numFmtId="14" fontId="55" fillId="0" borderId="6" xfId="0" applyNumberFormat="1" applyFont="1" applyBorder="1" applyProtection="1">
      <alignment vertical="top" wrapText="1"/>
      <protection hidden="1"/>
    </xf>
    <xf numFmtId="1" fontId="6" fillId="3" borderId="66" xfId="0" applyNumberFormat="1" applyFont="1" applyFill="1" applyBorder="1" applyAlignment="1" applyProtection="1">
      <alignment horizontal="center" vertical="top" wrapText="1"/>
      <protection hidden="1"/>
    </xf>
    <xf numFmtId="1" fontId="0" fillId="0" borderId="66" xfId="0" applyNumberFormat="1" applyBorder="1" applyProtection="1">
      <alignment vertical="top" wrapText="1"/>
      <protection hidden="1"/>
    </xf>
    <xf numFmtId="1" fontId="6" fillId="0" borderId="66" xfId="0" applyNumberFormat="1" applyFont="1" applyBorder="1" applyAlignment="1" applyProtection="1">
      <alignment horizontal="center" vertical="top" wrapText="1"/>
      <protection hidden="1"/>
    </xf>
    <xf numFmtId="1" fontId="6" fillId="3" borderId="147" xfId="0" applyNumberFormat="1" applyFont="1" applyFill="1" applyBorder="1" applyAlignment="1" applyProtection="1">
      <alignment horizontal="center" vertical="top" wrapText="1"/>
      <protection hidden="1"/>
    </xf>
    <xf numFmtId="1" fontId="6" fillId="3" borderId="148" xfId="0" applyNumberFormat="1" applyFont="1" applyFill="1" applyBorder="1" applyAlignment="1" applyProtection="1">
      <alignment horizontal="center" vertical="top" wrapText="1"/>
      <protection hidden="1"/>
    </xf>
    <xf numFmtId="1" fontId="6" fillId="0" borderId="147" xfId="0" applyNumberFormat="1" applyFont="1" applyBorder="1" applyAlignment="1" applyProtection="1">
      <alignment horizontal="center" vertical="top" wrapText="1"/>
      <protection hidden="1"/>
    </xf>
    <xf numFmtId="1" fontId="6" fillId="0" borderId="148" xfId="0" applyNumberFormat="1" applyFont="1" applyBorder="1" applyAlignment="1" applyProtection="1">
      <alignment horizontal="center" vertical="top" wrapText="1"/>
      <protection hidden="1"/>
    </xf>
    <xf numFmtId="1" fontId="6" fillId="3" borderId="70" xfId="0" applyNumberFormat="1" applyFont="1" applyFill="1" applyBorder="1" applyAlignment="1" applyProtection="1">
      <alignment horizontal="center" vertical="top" wrapText="1"/>
      <protection hidden="1"/>
    </xf>
    <xf numFmtId="1" fontId="6" fillId="3" borderId="71" xfId="0" applyNumberFormat="1" applyFont="1" applyFill="1" applyBorder="1" applyAlignment="1" applyProtection="1">
      <alignment horizontal="center" vertical="top" wrapText="1"/>
      <protection hidden="1"/>
    </xf>
    <xf numFmtId="1" fontId="6" fillId="0" borderId="70" xfId="0" applyNumberFormat="1" applyFont="1" applyBorder="1" applyAlignment="1" applyProtection="1">
      <alignment horizontal="center" vertical="top" wrapText="1"/>
      <protection hidden="1"/>
    </xf>
    <xf numFmtId="1" fontId="6" fillId="0" borderId="71" xfId="0" applyNumberFormat="1" applyFont="1" applyBorder="1" applyAlignment="1" applyProtection="1">
      <alignment horizontal="center" vertical="top" wrapText="1"/>
      <protection hidden="1"/>
    </xf>
    <xf numFmtId="0" fontId="12" fillId="30" borderId="42" xfId="0" applyFont="1" applyFill="1" applyBorder="1" applyAlignment="1" applyProtection="1">
      <alignment horizontal="right" vertical="top" wrapText="1"/>
      <protection hidden="1"/>
    </xf>
    <xf numFmtId="0" fontId="12" fillId="27" borderId="6" xfId="0" applyFont="1" applyFill="1" applyBorder="1" applyAlignment="1" applyProtection="1">
      <alignment horizontal="center" vertical="top" wrapText="1"/>
      <protection hidden="1"/>
    </xf>
    <xf numFmtId="0" fontId="12" fillId="30" borderId="49" xfId="0" applyFont="1" applyFill="1" applyBorder="1" applyAlignment="1" applyProtection="1">
      <alignment horizontal="right" vertical="top" wrapText="1"/>
      <protection hidden="1"/>
    </xf>
    <xf numFmtId="0" fontId="101" fillId="25" borderId="6" xfId="0" applyFont="1" applyFill="1" applyBorder="1" applyProtection="1">
      <alignment vertical="top" wrapText="1"/>
      <protection hidden="1"/>
    </xf>
    <xf numFmtId="169" fontId="71" fillId="19" borderId="38" xfId="0" applyNumberFormat="1" applyFont="1" applyFill="1" applyBorder="1" applyProtection="1">
      <alignment vertical="top" wrapText="1"/>
      <protection hidden="1"/>
    </xf>
    <xf numFmtId="0" fontId="94" fillId="31" borderId="50" xfId="0" applyNumberFormat="1" applyFont="1" applyFill="1" applyBorder="1" applyProtection="1">
      <alignment vertical="top" wrapText="1"/>
      <protection hidden="1"/>
    </xf>
    <xf numFmtId="0" fontId="94" fillId="31" borderId="6" xfId="0" applyNumberFormat="1" applyFont="1" applyFill="1" applyBorder="1" applyProtection="1">
      <alignment vertical="top" wrapText="1"/>
      <protection hidden="1"/>
    </xf>
    <xf numFmtId="0" fontId="79" fillId="0" borderId="38" xfId="0" applyNumberFormat="1" applyFont="1" applyBorder="1" applyAlignment="1" applyProtection="1">
      <alignment horizontal="left" vertical="top" wrapText="1"/>
      <protection hidden="1"/>
    </xf>
    <xf numFmtId="0" fontId="81" fillId="0" borderId="38" xfId="0" applyNumberFormat="1" applyFont="1" applyBorder="1" applyAlignment="1" applyProtection="1">
      <alignment horizontal="left" vertical="top" wrapText="1"/>
      <protection hidden="1"/>
    </xf>
    <xf numFmtId="0" fontId="8" fillId="0" borderId="38" xfId="0" applyNumberFormat="1" applyFont="1" applyBorder="1" applyProtection="1">
      <alignment vertical="top" wrapText="1"/>
      <protection hidden="1"/>
    </xf>
    <xf numFmtId="0" fontId="44" fillId="0" borderId="38" xfId="0" applyFont="1" applyBorder="1" applyProtection="1">
      <alignment vertical="top" wrapText="1"/>
      <protection hidden="1"/>
    </xf>
    <xf numFmtId="0" fontId="45" fillId="0" borderId="6" xfId="0" applyFont="1" applyBorder="1" applyProtection="1">
      <alignment vertical="top" wrapText="1"/>
      <protection hidden="1"/>
    </xf>
    <xf numFmtId="168" fontId="45" fillId="0" borderId="6" xfId="0" applyNumberFormat="1" applyFont="1" applyBorder="1" applyProtection="1">
      <alignment vertical="top" wrapText="1"/>
      <protection hidden="1"/>
    </xf>
    <xf numFmtId="0" fontId="50" fillId="0" borderId="6" xfId="0" applyFont="1" applyBorder="1" applyProtection="1">
      <alignment vertical="top" wrapText="1"/>
      <protection hidden="1"/>
    </xf>
    <xf numFmtId="168" fontId="50" fillId="0" borderId="6" xfId="0" applyNumberFormat="1" applyFont="1" applyBorder="1" applyProtection="1">
      <alignment vertical="top" wrapText="1"/>
      <protection hidden="1"/>
    </xf>
    <xf numFmtId="0" fontId="48" fillId="0" borderId="39" xfId="0" applyNumberFormat="1" applyFont="1" applyBorder="1" applyAlignment="1" applyProtection="1">
      <alignment horizontal="center" vertical="top" wrapText="1"/>
      <protection hidden="1"/>
    </xf>
    <xf numFmtId="0" fontId="48" fillId="0" borderId="39" xfId="0" applyNumberFormat="1" applyFont="1" applyBorder="1" applyAlignment="1" applyProtection="1">
      <alignment horizontal="center" vertical="top" wrapText="1" readingOrder="1"/>
      <protection hidden="1"/>
    </xf>
    <xf numFmtId="0" fontId="45" fillId="4" borderId="49" xfId="0" applyNumberFormat="1" applyFont="1" applyFill="1" applyBorder="1" applyProtection="1">
      <alignment vertical="top" wrapText="1"/>
      <protection hidden="1"/>
    </xf>
    <xf numFmtId="2" fontId="47" fillId="4" borderId="43" xfId="0" applyNumberFormat="1" applyFont="1" applyFill="1" applyBorder="1" applyProtection="1">
      <alignment vertical="top" wrapText="1"/>
      <protection hidden="1"/>
    </xf>
    <xf numFmtId="2" fontId="84" fillId="0" borderId="41" xfId="0" applyNumberFormat="1" applyFont="1" applyBorder="1" applyProtection="1">
      <alignment vertical="top" wrapText="1"/>
      <protection hidden="1"/>
    </xf>
    <xf numFmtId="0" fontId="44" fillId="13" borderId="6" xfId="0" applyFont="1" applyFill="1" applyBorder="1" applyProtection="1">
      <alignment vertical="top" wrapText="1"/>
      <protection hidden="1"/>
    </xf>
    <xf numFmtId="49" fontId="50" fillId="13" borderId="6" xfId="0" applyNumberFormat="1" applyFont="1" applyFill="1" applyBorder="1" applyAlignment="1" applyProtection="1">
      <alignment horizontal="left" vertical="top" wrapText="1" readingOrder="1"/>
      <protection hidden="1"/>
    </xf>
    <xf numFmtId="0" fontId="50" fillId="13" borderId="6" xfId="0" applyFont="1" applyFill="1" applyBorder="1" applyProtection="1">
      <alignment vertical="top" wrapText="1"/>
      <protection hidden="1"/>
    </xf>
    <xf numFmtId="14" fontId="50" fillId="13" borderId="6" xfId="0" applyNumberFormat="1" applyFont="1" applyFill="1" applyBorder="1" applyProtection="1">
      <alignment vertical="top" wrapText="1"/>
      <protection hidden="1"/>
    </xf>
    <xf numFmtId="0" fontId="50" fillId="13" borderId="6" xfId="0" applyNumberFormat="1" applyFont="1" applyFill="1" applyBorder="1" applyProtection="1">
      <alignment vertical="top" wrapText="1"/>
      <protection hidden="1"/>
    </xf>
    <xf numFmtId="49" fontId="50" fillId="13" borderId="6" xfId="0" applyNumberFormat="1" applyFont="1" applyFill="1" applyBorder="1" applyProtection="1">
      <alignment vertical="top" wrapText="1"/>
      <protection hidden="1"/>
    </xf>
    <xf numFmtId="1" fontId="110" fillId="13" borderId="6" xfId="0" applyNumberFormat="1" applyFont="1" applyFill="1" applyBorder="1" applyProtection="1">
      <alignment vertical="top" wrapText="1"/>
      <protection hidden="1"/>
    </xf>
    <xf numFmtId="165" fontId="50" fillId="13" borderId="6" xfId="0" applyNumberFormat="1" applyFont="1" applyFill="1" applyBorder="1" applyProtection="1">
      <alignment vertical="top" wrapText="1"/>
      <protection hidden="1"/>
    </xf>
    <xf numFmtId="0" fontId="48" fillId="0" borderId="6" xfId="0" applyFont="1" applyBorder="1" applyAlignment="1" applyProtection="1">
      <alignment horizontal="left" vertical="top" wrapText="1" readingOrder="1"/>
      <protection hidden="1"/>
    </xf>
    <xf numFmtId="0" fontId="44" fillId="12" borderId="6" xfId="0" applyFont="1" applyFill="1" applyBorder="1" applyProtection="1">
      <alignment vertical="top" wrapText="1"/>
      <protection hidden="1"/>
    </xf>
    <xf numFmtId="0" fontId="45" fillId="12" borderId="6" xfId="0" applyFont="1" applyFill="1" applyBorder="1" applyProtection="1">
      <alignment vertical="top" wrapText="1"/>
      <protection hidden="1"/>
    </xf>
    <xf numFmtId="0" fontId="54" fillId="13" borderId="6" xfId="0" applyFont="1" applyFill="1" applyBorder="1" applyProtection="1">
      <alignment vertical="top" wrapText="1"/>
      <protection hidden="1"/>
    </xf>
    <xf numFmtId="0" fontId="57" fillId="13" borderId="6" xfId="0" applyFont="1" applyFill="1" applyBorder="1" applyProtection="1">
      <alignment vertical="top" wrapText="1"/>
      <protection hidden="1"/>
    </xf>
    <xf numFmtId="168" fontId="54" fillId="13" borderId="6" xfId="0" applyNumberFormat="1" applyFont="1" applyFill="1" applyBorder="1" applyProtection="1">
      <alignment vertical="top" wrapText="1"/>
      <protection hidden="1"/>
    </xf>
    <xf numFmtId="0" fontId="54" fillId="0" borderId="6" xfId="0" applyFont="1" applyBorder="1" applyAlignment="1" applyProtection="1">
      <alignment horizontal="right" vertical="top" wrapText="1"/>
      <protection hidden="1"/>
    </xf>
    <xf numFmtId="0" fontId="54" fillId="0" borderId="6" xfId="0" applyNumberFormat="1" applyFont="1" applyBorder="1" applyProtection="1">
      <alignment vertical="top" wrapText="1"/>
      <protection hidden="1"/>
    </xf>
    <xf numFmtId="167" fontId="54" fillId="13" borderId="6" xfId="0" applyNumberFormat="1" applyFont="1" applyFill="1" applyBorder="1" applyAlignment="1" applyProtection="1">
      <alignment horizontal="right" vertical="top" wrapText="1"/>
      <protection hidden="1"/>
    </xf>
    <xf numFmtId="0" fontId="57" fillId="13" borderId="6" xfId="0" applyNumberFormat="1" applyFont="1" applyFill="1" applyBorder="1" applyProtection="1">
      <alignment vertical="top" wrapText="1"/>
      <protection hidden="1"/>
    </xf>
    <xf numFmtId="171" fontId="54" fillId="13" borderId="6" xfId="0" applyNumberFormat="1" applyFont="1" applyFill="1" applyBorder="1" applyProtection="1">
      <alignment vertical="top" wrapText="1"/>
      <protection hidden="1"/>
    </xf>
    <xf numFmtId="49" fontId="54" fillId="13" borderId="6" xfId="0" applyNumberFormat="1" applyFont="1" applyFill="1" applyBorder="1" applyProtection="1">
      <alignment vertical="top" wrapText="1"/>
      <protection hidden="1"/>
    </xf>
    <xf numFmtId="0" fontId="61" fillId="13" borderId="6" xfId="0" applyNumberFormat="1" applyFont="1" applyFill="1" applyBorder="1" applyProtection="1">
      <alignment vertical="top" wrapText="1"/>
      <protection hidden="1"/>
    </xf>
    <xf numFmtId="165" fontId="54" fillId="13" borderId="6" xfId="0" applyNumberFormat="1" applyFont="1" applyFill="1" applyBorder="1" applyProtection="1">
      <alignment vertical="top" wrapText="1"/>
      <protection hidden="1"/>
    </xf>
    <xf numFmtId="0" fontId="122" fillId="0" borderId="6" xfId="0" applyFont="1" applyBorder="1" applyProtection="1">
      <alignment vertical="top" wrapText="1"/>
      <protection hidden="1"/>
    </xf>
    <xf numFmtId="0" fontId="58" fillId="13" borderId="6" xfId="0" applyFont="1" applyFill="1" applyBorder="1" applyProtection="1">
      <alignment vertical="top" wrapText="1"/>
      <protection hidden="1"/>
    </xf>
    <xf numFmtId="168" fontId="58" fillId="0" borderId="45" xfId="0" applyNumberFormat="1" applyFont="1" applyBorder="1" applyProtection="1">
      <alignment vertical="top" wrapText="1"/>
      <protection hidden="1"/>
    </xf>
    <xf numFmtId="165" fontId="132" fillId="13" borderId="45" xfId="0" applyNumberFormat="1" applyFont="1" applyFill="1" applyBorder="1" applyProtection="1">
      <alignment vertical="top" wrapText="1"/>
      <protection hidden="1"/>
    </xf>
    <xf numFmtId="0" fontId="54" fillId="0" borderId="50" xfId="0" applyFont="1" applyBorder="1" applyAlignment="1" applyProtection="1">
      <alignment horizontal="right" vertical="top" wrapText="1"/>
      <protection hidden="1"/>
    </xf>
    <xf numFmtId="2" fontId="57" fillId="13" borderId="6" xfId="0" applyNumberFormat="1" applyFont="1" applyFill="1" applyBorder="1" applyProtection="1">
      <alignment vertical="top" wrapText="1"/>
      <protection hidden="1"/>
    </xf>
    <xf numFmtId="49" fontId="54" fillId="0" borderId="143" xfId="0" applyNumberFormat="1" applyFont="1" applyBorder="1" applyAlignment="1" applyProtection="1">
      <alignment horizontal="left" vertical="top" wrapText="1" readingOrder="1"/>
      <protection hidden="1"/>
    </xf>
    <xf numFmtId="0" fontId="55" fillId="0" borderId="49" xfId="0" applyFont="1" applyBorder="1" applyProtection="1">
      <alignment vertical="top" wrapText="1"/>
      <protection hidden="1"/>
    </xf>
    <xf numFmtId="0" fontId="54" fillId="0" borderId="122" xfId="0" applyNumberFormat="1" applyFont="1" applyBorder="1" applyAlignment="1" applyProtection="1">
      <alignment horizontal="left" vertical="top" wrapText="1" readingOrder="1"/>
      <protection hidden="1"/>
    </xf>
    <xf numFmtId="165" fontId="134" fillId="3" borderId="1" xfId="0" applyNumberFormat="1" applyFont="1" applyFill="1" applyBorder="1" applyAlignment="1" applyProtection="1">
      <alignment horizontal="right" vertical="top" wrapText="1" readingOrder="1"/>
      <protection locked="0" hidden="1"/>
    </xf>
    <xf numFmtId="0" fontId="30" fillId="0" borderId="6" xfId="0" applyNumberFormat="1" applyFont="1" applyBorder="1" applyProtection="1">
      <alignment vertical="top" wrapText="1"/>
      <protection locked="0" hidden="1"/>
    </xf>
    <xf numFmtId="49" fontId="88" fillId="0" borderId="38" xfId="0" applyNumberFormat="1" applyFont="1" applyBorder="1" applyProtection="1">
      <alignment vertical="top" wrapText="1"/>
      <protection locked="0" hidden="1"/>
    </xf>
    <xf numFmtId="0" fontId="87" fillId="0" borderId="6" xfId="0" applyNumberFormat="1" applyFont="1" applyBorder="1" applyProtection="1">
      <alignment vertical="top" wrapText="1"/>
      <protection locked="0" hidden="1"/>
    </xf>
    <xf numFmtId="49" fontId="88" fillId="0" borderId="6" xfId="0" applyNumberFormat="1" applyFont="1" applyBorder="1" applyProtection="1">
      <alignment vertical="top" wrapText="1"/>
      <protection locked="0" hidden="1"/>
    </xf>
    <xf numFmtId="0" fontId="81" fillId="0" borderId="6" xfId="0" applyNumberFormat="1" applyFont="1" applyBorder="1" applyAlignment="1" applyProtection="1">
      <alignment horizontal="left" vertical="top" wrapText="1"/>
      <protection hidden="1"/>
    </xf>
    <xf numFmtId="0" fontId="87" fillId="0" borderId="38" xfId="0" applyNumberFormat="1" applyFont="1" applyBorder="1" applyProtection="1">
      <alignment vertical="top" wrapText="1"/>
      <protection locked="0" hidden="1"/>
    </xf>
    <xf numFmtId="0" fontId="87" fillId="0" borderId="38" xfId="0" applyNumberFormat="1" applyFont="1" applyBorder="1" applyAlignment="1" applyProtection="1">
      <alignment horizontal="left" vertical="top" wrapText="1"/>
      <protection locked="0" hidden="1"/>
    </xf>
    <xf numFmtId="0" fontId="91" fillId="0" borderId="38" xfId="0" applyNumberFormat="1" applyFont="1" applyBorder="1" applyProtection="1">
      <alignment vertical="top" wrapText="1"/>
      <protection locked="0" hidden="1"/>
    </xf>
    <xf numFmtId="0" fontId="46" fillId="13" borderId="128" xfId="0" applyFont="1" applyFill="1" applyBorder="1" applyAlignment="1" applyProtection="1">
      <alignment vertical="top" wrapText="1" readingOrder="1"/>
      <protection hidden="1"/>
    </xf>
    <xf numFmtId="0" fontId="124" fillId="0" borderId="6" xfId="0" applyFont="1" applyBorder="1" applyAlignment="1" applyProtection="1">
      <alignment horizontal="center" vertical="top" wrapText="1"/>
      <protection hidden="1"/>
    </xf>
    <xf numFmtId="0" fontId="124" fillId="0" borderId="122" xfId="0" applyFont="1" applyBorder="1" applyAlignment="1" applyProtection="1">
      <alignment horizontal="center" vertical="top" wrapText="1"/>
      <protection hidden="1"/>
    </xf>
    <xf numFmtId="168" fontId="50" fillId="13" borderId="6" xfId="0" applyNumberFormat="1" applyFont="1" applyFill="1" applyBorder="1" applyProtection="1">
      <alignment vertical="top" wrapText="1"/>
      <protection hidden="1"/>
    </xf>
    <xf numFmtId="169" fontId="132" fillId="13" borderId="45" xfId="0" applyNumberFormat="1" applyFont="1" applyFill="1" applyBorder="1" applyProtection="1">
      <alignment vertical="top" wrapText="1"/>
      <protection hidden="1"/>
    </xf>
    <xf numFmtId="1" fontId="46" fillId="13" borderId="6" xfId="0" applyNumberFormat="1" applyFont="1" applyFill="1" applyBorder="1" applyAlignment="1" applyProtection="1">
      <alignment horizontal="left" vertical="top" wrapText="1" readingOrder="1"/>
      <protection hidden="1"/>
    </xf>
    <xf numFmtId="0" fontId="50" fillId="13" borderId="6" xfId="0" applyFont="1" applyFill="1" applyBorder="1" applyAlignment="1" applyProtection="1">
      <alignment horizontal="right" vertical="top" wrapText="1"/>
      <protection hidden="1"/>
    </xf>
    <xf numFmtId="1" fontId="50" fillId="13" borderId="6" xfId="0" applyNumberFormat="1" applyFont="1" applyFill="1" applyBorder="1" applyAlignment="1" applyProtection="1">
      <alignment horizontal="left" vertical="top" wrapText="1" readingOrder="1"/>
      <protection hidden="1"/>
    </xf>
    <xf numFmtId="14" fontId="50" fillId="13" borderId="6" xfId="0" applyNumberFormat="1" applyFont="1" applyFill="1" applyBorder="1" applyAlignment="1" applyProtection="1">
      <alignment horizontal="right" vertical="top" wrapText="1"/>
      <protection hidden="1"/>
    </xf>
    <xf numFmtId="2" fontId="44" fillId="13" borderId="6" xfId="0" applyNumberFormat="1" applyFont="1" applyFill="1" applyBorder="1" applyProtection="1">
      <alignment vertical="top" wrapText="1"/>
      <protection hidden="1"/>
    </xf>
    <xf numFmtId="0" fontId="44" fillId="13" borderId="128" xfId="0" applyFont="1" applyFill="1" applyBorder="1" applyProtection="1">
      <alignment vertical="top" wrapText="1"/>
      <protection hidden="1"/>
    </xf>
    <xf numFmtId="1" fontId="50" fillId="13" borderId="6" xfId="0" applyNumberFormat="1" applyFont="1" applyFill="1" applyBorder="1" applyProtection="1">
      <alignment vertical="top" wrapText="1"/>
      <protection hidden="1"/>
    </xf>
    <xf numFmtId="165" fontId="140" fillId="13" borderId="6" xfId="0" applyNumberFormat="1" applyFont="1" applyFill="1" applyBorder="1" applyProtection="1">
      <alignment vertical="top" wrapText="1"/>
      <protection hidden="1"/>
    </xf>
    <xf numFmtId="0" fontId="44" fillId="13" borderId="6" xfId="0" applyNumberFormat="1" applyFont="1" applyFill="1" applyBorder="1" applyProtection="1">
      <alignment vertical="top" wrapText="1"/>
      <protection hidden="1"/>
    </xf>
    <xf numFmtId="167" fontId="50" fillId="13" borderId="6" xfId="0" applyNumberFormat="1" applyFont="1" applyFill="1" applyBorder="1" applyAlignment="1" applyProtection="1">
      <alignment horizontal="right" vertical="top" wrapText="1"/>
      <protection hidden="1"/>
    </xf>
    <xf numFmtId="0" fontId="45" fillId="13" borderId="6" xfId="0" applyFont="1" applyFill="1" applyBorder="1" applyProtection="1">
      <alignment vertical="top" wrapText="1"/>
      <protection hidden="1"/>
    </xf>
    <xf numFmtId="1" fontId="58" fillId="0" borderId="44" xfId="0" applyNumberFormat="1" applyFont="1" applyBorder="1" applyProtection="1">
      <alignment vertical="top" wrapText="1"/>
      <protection hidden="1"/>
    </xf>
    <xf numFmtId="0" fontId="142" fillId="0" borderId="38" xfId="0" applyNumberFormat="1" applyFont="1" applyBorder="1" applyProtection="1">
      <alignment vertical="top" wrapText="1"/>
      <protection locked="0" hidden="1"/>
    </xf>
    <xf numFmtId="1" fontId="44" fillId="13" borderId="6" xfId="0" applyNumberFormat="1" applyFont="1" applyFill="1" applyBorder="1" applyProtection="1">
      <alignment vertical="top" wrapText="1"/>
      <protection hidden="1"/>
    </xf>
    <xf numFmtId="0" fontId="47" fillId="0" borderId="6" xfId="0" applyFont="1" applyBorder="1" applyProtection="1">
      <alignment vertical="top" wrapText="1"/>
      <protection hidden="1"/>
    </xf>
    <xf numFmtId="0" fontId="120" fillId="12" borderId="6" xfId="0" applyFont="1" applyFill="1" applyBorder="1" applyProtection="1">
      <alignment vertical="top" wrapText="1"/>
      <protection hidden="1"/>
    </xf>
    <xf numFmtId="0" fontId="53" fillId="0" borderId="6" xfId="0" applyFont="1" applyBorder="1" applyAlignment="1" applyProtection="1">
      <alignment horizontal="center" vertical="top" wrapText="1"/>
      <protection hidden="1"/>
    </xf>
    <xf numFmtId="1" fontId="50" fillId="13" borderId="128" xfId="0" applyNumberFormat="1" applyFont="1" applyFill="1" applyBorder="1" applyAlignment="1" applyProtection="1">
      <alignment vertical="top" wrapText="1" readingOrder="1"/>
      <protection hidden="1"/>
    </xf>
    <xf numFmtId="2" fontId="50" fillId="12" borderId="128" xfId="0" applyNumberFormat="1" applyFont="1" applyFill="1" applyBorder="1" applyAlignment="1" applyProtection="1">
      <alignment horizontal="left" vertical="top" wrapText="1" readingOrder="1"/>
      <protection hidden="1"/>
    </xf>
    <xf numFmtId="1" fontId="50" fillId="25" borderId="6" xfId="0" applyNumberFormat="1" applyFont="1" applyFill="1" applyBorder="1" applyAlignment="1" applyProtection="1">
      <alignment horizontal="left" vertical="top" wrapText="1" readingOrder="1"/>
      <protection hidden="1"/>
    </xf>
    <xf numFmtId="14" fontId="51" fillId="25" borderId="6" xfId="0" applyNumberFormat="1" applyFont="1" applyFill="1" applyBorder="1" applyAlignment="1" applyProtection="1">
      <alignment horizontal="center" vertical="top" wrapText="1"/>
      <protection hidden="1"/>
    </xf>
    <xf numFmtId="0" fontId="51" fillId="25" borderId="6" xfId="0" applyFont="1" applyFill="1" applyBorder="1" applyAlignment="1" applyProtection="1">
      <alignment horizontal="right" vertical="top" wrapText="1"/>
      <protection hidden="1"/>
    </xf>
    <xf numFmtId="1" fontId="50" fillId="25" borderId="6" xfId="0" applyNumberFormat="1" applyFont="1" applyFill="1" applyBorder="1" applyProtection="1">
      <alignment vertical="top" wrapText="1"/>
      <protection hidden="1"/>
    </xf>
    <xf numFmtId="171" fontId="144" fillId="25" borderId="6" xfId="0" applyNumberFormat="1" applyFont="1" applyFill="1" applyBorder="1" applyAlignment="1" applyProtection="1">
      <alignment horizontal="center" vertical="top" wrapText="1"/>
      <protection hidden="1"/>
    </xf>
    <xf numFmtId="49" fontId="50" fillId="13" borderId="128" xfId="0" applyNumberFormat="1" applyFont="1" applyFill="1" applyBorder="1" applyAlignment="1" applyProtection="1">
      <alignment horizontal="left" vertical="top" wrapText="1" readingOrder="1"/>
      <protection hidden="1"/>
    </xf>
    <xf numFmtId="0" fontId="120" fillId="13" borderId="6" xfId="0" applyFont="1" applyFill="1" applyBorder="1" applyProtection="1">
      <alignment vertical="top" wrapText="1"/>
      <protection hidden="1"/>
    </xf>
    <xf numFmtId="1" fontId="51" fillId="25" borderId="6" xfId="0" applyNumberFormat="1" applyFont="1" applyFill="1" applyBorder="1" applyAlignment="1" applyProtection="1">
      <alignment horizontal="center" vertical="top" wrapText="1"/>
      <protection hidden="1"/>
    </xf>
    <xf numFmtId="2" fontId="110" fillId="13" borderId="6" xfId="0" applyNumberFormat="1" applyFont="1" applyFill="1" applyBorder="1" applyProtection="1">
      <alignment vertical="top" wrapText="1"/>
      <protection hidden="1"/>
    </xf>
    <xf numFmtId="14" fontId="58" fillId="0" borderId="45" xfId="0" applyNumberFormat="1" applyFont="1" applyBorder="1" applyProtection="1">
      <alignment vertical="top" wrapText="1"/>
      <protection hidden="1"/>
    </xf>
    <xf numFmtId="14" fontId="57" fillId="0" borderId="45" xfId="0" applyNumberFormat="1" applyFont="1" applyBorder="1" applyProtection="1">
      <alignment vertical="top" wrapText="1"/>
      <protection hidden="1"/>
    </xf>
    <xf numFmtId="49" fontId="145" fillId="12" borderId="104" xfId="0" applyNumberFormat="1" applyFont="1" applyFill="1" applyBorder="1" applyProtection="1">
      <alignment vertical="top" wrapText="1"/>
      <protection hidden="1"/>
    </xf>
    <xf numFmtId="0" fontId="145" fillId="12" borderId="38" xfId="0" applyNumberFormat="1" applyFont="1" applyFill="1" applyBorder="1" applyProtection="1">
      <alignment vertical="top" wrapText="1"/>
      <protection hidden="1"/>
    </xf>
    <xf numFmtId="2" fontId="145" fillId="12" borderId="104" xfId="0" applyNumberFormat="1" applyFont="1" applyFill="1" applyBorder="1" applyProtection="1">
      <alignment vertical="top" wrapText="1"/>
      <protection hidden="1"/>
    </xf>
    <xf numFmtId="0" fontId="107" fillId="12" borderId="38" xfId="0" applyNumberFormat="1" applyFont="1" applyFill="1" applyBorder="1" applyAlignment="1" applyProtection="1">
      <alignment horizontal="right" vertical="top" wrapText="1"/>
      <protection hidden="1"/>
    </xf>
    <xf numFmtId="0" fontId="107" fillId="12" borderId="105" xfId="0" applyNumberFormat="1" applyFont="1" applyFill="1" applyBorder="1" applyAlignment="1" applyProtection="1">
      <alignment horizontal="right" vertical="top" wrapText="1"/>
      <protection hidden="1"/>
    </xf>
    <xf numFmtId="49" fontId="47" fillId="0" borderId="41" xfId="0" applyNumberFormat="1" applyFont="1" applyBorder="1" applyAlignment="1" applyProtection="1">
      <alignment horizontal="left" vertical="top" wrapText="1" readingOrder="1"/>
      <protection hidden="1"/>
    </xf>
    <xf numFmtId="49" fontId="18" fillId="0" borderId="137" xfId="0" applyNumberFormat="1" applyFont="1" applyBorder="1" applyAlignment="1" applyProtection="1">
      <alignment horizontal="left" vertical="top" wrapText="1" readingOrder="1"/>
      <protection hidden="1"/>
    </xf>
    <xf numFmtId="49" fontId="21" fillId="0" borderId="39" xfId="0" applyNumberFormat="1" applyFont="1" applyBorder="1" applyAlignment="1" applyProtection="1">
      <alignment horizontal="right" vertical="top" wrapText="1"/>
      <protection hidden="1"/>
    </xf>
    <xf numFmtId="0" fontId="0" fillId="0" borderId="6" xfId="0" applyBorder="1" applyProtection="1">
      <alignment vertical="top" wrapText="1"/>
      <protection hidden="1"/>
    </xf>
    <xf numFmtId="0" fontId="14" fillId="0" borderId="6" xfId="0" applyFont="1" applyBorder="1" applyProtection="1">
      <alignment vertical="top" wrapText="1"/>
      <protection hidden="1"/>
    </xf>
    <xf numFmtId="0" fontId="24" fillId="13" borderId="6" xfId="0" applyFont="1" applyFill="1" applyBorder="1" applyProtection="1">
      <alignment vertical="top" wrapText="1"/>
      <protection hidden="1"/>
    </xf>
    <xf numFmtId="0" fontId="55" fillId="4" borderId="6" xfId="0" applyNumberFormat="1" applyFont="1" applyFill="1" applyBorder="1" applyProtection="1">
      <alignment vertical="top" wrapText="1"/>
      <protection hidden="1"/>
    </xf>
    <xf numFmtId="171" fontId="55" fillId="0" borderId="6" xfId="0" applyNumberFormat="1" applyFont="1" applyBorder="1" applyProtection="1">
      <alignment vertical="top" wrapText="1"/>
      <protection hidden="1"/>
    </xf>
    <xf numFmtId="49" fontId="55" fillId="0" borderId="6" xfId="0" applyNumberFormat="1" applyFont="1" applyBorder="1" applyAlignment="1" applyProtection="1">
      <alignment horizontal="right" vertical="top" wrapText="1"/>
      <protection hidden="1"/>
    </xf>
    <xf numFmtId="0" fontId="65" fillId="0" borderId="6" xfId="0" applyNumberFormat="1" applyFont="1" applyBorder="1" applyAlignment="1" applyProtection="1">
      <alignment horizontal="right" vertical="top" wrapText="1" readingOrder="1"/>
      <protection hidden="1"/>
    </xf>
    <xf numFmtId="0" fontId="65" fillId="0" borderId="6" xfId="0" applyNumberFormat="1" applyFont="1" applyBorder="1" applyProtection="1">
      <alignment vertical="top" wrapText="1"/>
      <protection hidden="1"/>
    </xf>
    <xf numFmtId="165" fontId="55" fillId="4" borderId="47" xfId="0" applyNumberFormat="1" applyFont="1" applyFill="1" applyBorder="1" applyProtection="1">
      <alignment vertical="top" wrapText="1"/>
      <protection hidden="1"/>
    </xf>
    <xf numFmtId="0" fontId="21" fillId="0" borderId="128" xfId="0" applyFont="1" applyBorder="1" applyProtection="1">
      <alignment vertical="top" wrapText="1"/>
      <protection hidden="1"/>
    </xf>
    <xf numFmtId="49" fontId="55" fillId="0" borderId="122" xfId="0" applyNumberFormat="1" applyFont="1" applyBorder="1" applyAlignment="1" applyProtection="1">
      <alignment horizontal="right" vertical="top" wrapText="1"/>
      <protection hidden="1"/>
    </xf>
    <xf numFmtId="0" fontId="65" fillId="0" borderId="122" xfId="0" applyNumberFormat="1" applyFont="1" applyBorder="1" applyAlignment="1" applyProtection="1">
      <alignment horizontal="right" vertical="top" wrapText="1" readingOrder="1"/>
      <protection hidden="1"/>
    </xf>
    <xf numFmtId="165" fontId="55" fillId="13" borderId="47" xfId="0" applyNumberFormat="1" applyFont="1" applyFill="1" applyBorder="1" applyProtection="1">
      <alignment vertical="top" wrapText="1"/>
      <protection hidden="1"/>
    </xf>
    <xf numFmtId="0" fontId="45" fillId="0" borderId="47" xfId="0" applyFont="1" applyBorder="1" applyProtection="1">
      <alignment vertical="top" wrapText="1"/>
      <protection hidden="1"/>
    </xf>
    <xf numFmtId="0" fontId="47" fillId="0" borderId="50" xfId="0" applyFont="1" applyBorder="1" applyProtection="1">
      <alignment vertical="top" wrapText="1"/>
      <protection hidden="1"/>
    </xf>
    <xf numFmtId="0" fontId="47" fillId="0" borderId="122" xfId="0" applyFont="1" applyBorder="1" applyProtection="1">
      <alignment vertical="top" wrapText="1"/>
      <protection hidden="1"/>
    </xf>
    <xf numFmtId="0" fontId="47" fillId="13" borderId="6" xfId="0" applyFont="1" applyFill="1" applyBorder="1" applyProtection="1">
      <alignment vertical="top" wrapText="1"/>
      <protection hidden="1"/>
    </xf>
    <xf numFmtId="49" fontId="21" fillId="0" borderId="41" xfId="0" applyNumberFormat="1" applyFont="1" applyBorder="1" applyAlignment="1" applyProtection="1">
      <alignment horizontal="left" vertical="top" wrapText="1" readingOrder="1"/>
      <protection hidden="1"/>
    </xf>
    <xf numFmtId="14" fontId="57" fillId="0" borderId="52" xfId="0" applyNumberFormat="1" applyFont="1" applyBorder="1" applyProtection="1">
      <alignment vertical="top" wrapText="1"/>
      <protection hidden="1"/>
    </xf>
    <xf numFmtId="0" fontId="145" fillId="12" borderId="38" xfId="0" applyNumberFormat="1" applyFont="1" applyFill="1" applyBorder="1" applyAlignment="1" applyProtection="1">
      <alignment horizontal="right" vertical="top" wrapText="1"/>
      <protection hidden="1"/>
    </xf>
    <xf numFmtId="0" fontId="145" fillId="12" borderId="105" xfId="0" applyNumberFormat="1" applyFont="1" applyFill="1" applyBorder="1" applyAlignment="1" applyProtection="1">
      <alignment horizontal="right" vertical="top" wrapText="1"/>
      <protection hidden="1"/>
    </xf>
    <xf numFmtId="0" fontId="0" fillId="0" borderId="128" xfId="0" applyNumberFormat="1" applyBorder="1" applyProtection="1">
      <alignment vertical="top" wrapText="1"/>
      <protection hidden="1"/>
    </xf>
    <xf numFmtId="0" fontId="0" fillId="0" borderId="122" xfId="0" applyNumberFormat="1" applyBorder="1" applyProtection="1">
      <alignment vertical="top" wrapText="1"/>
      <protection hidden="1"/>
    </xf>
    <xf numFmtId="2" fontId="46" fillId="0" borderId="104" xfId="0" applyNumberFormat="1" applyFont="1" applyBorder="1" applyAlignment="1" applyProtection="1">
      <alignment horizontal="left" vertical="top" wrapText="1" readingOrder="1"/>
      <protection hidden="1"/>
    </xf>
    <xf numFmtId="0" fontId="0" fillId="0" borderId="44" xfId="0" applyNumberFormat="1" applyBorder="1" applyProtection="1">
      <alignment vertical="top" wrapText="1"/>
      <protection hidden="1"/>
    </xf>
    <xf numFmtId="1" fontId="117" fillId="0" borderId="41" xfId="0" applyNumberFormat="1" applyFont="1" applyBorder="1" applyAlignment="1" applyProtection="1">
      <alignment horizontal="center" vertical="top" wrapText="1"/>
      <protection hidden="1"/>
    </xf>
    <xf numFmtId="1" fontId="117" fillId="0" borderId="47" xfId="0" applyNumberFormat="1" applyFont="1" applyBorder="1" applyAlignment="1" applyProtection="1">
      <alignment horizontal="center" vertical="top" wrapText="1"/>
      <protection hidden="1"/>
    </xf>
    <xf numFmtId="0" fontId="60" fillId="0" borderId="45" xfId="0" applyFont="1" applyBorder="1" applyProtection="1">
      <alignment vertical="top" wrapText="1"/>
      <protection hidden="1"/>
    </xf>
    <xf numFmtId="0" fontId="56" fillId="0" borderId="45" xfId="0" applyNumberFormat="1" applyFont="1" applyBorder="1" applyProtection="1">
      <alignment vertical="top" wrapText="1"/>
      <protection hidden="1"/>
    </xf>
    <xf numFmtId="0" fontId="47" fillId="0" borderId="47" xfId="0" applyFont="1" applyBorder="1" applyProtection="1">
      <alignment vertical="top" wrapText="1"/>
      <protection hidden="1"/>
    </xf>
    <xf numFmtId="49" fontId="117" fillId="0" borderId="41" xfId="0" applyNumberFormat="1" applyFont="1" applyBorder="1" applyAlignment="1" applyProtection="1">
      <alignment horizontal="center" vertical="top" wrapText="1"/>
      <protection hidden="1"/>
    </xf>
    <xf numFmtId="2" fontId="12" fillId="0" borderId="6" xfId="0" applyNumberFormat="1" applyFont="1" applyBorder="1" applyProtection="1">
      <alignment vertical="top" wrapText="1"/>
      <protection hidden="1"/>
    </xf>
    <xf numFmtId="0" fontId="58" fillId="0" borderId="109" xfId="0" applyFont="1" applyBorder="1" applyProtection="1">
      <alignment vertical="top" wrapText="1"/>
      <protection hidden="1"/>
    </xf>
    <xf numFmtId="0" fontId="44" fillId="0" borderId="111" xfId="0" applyFont="1" applyBorder="1" applyProtection="1">
      <alignment vertical="top" wrapText="1"/>
      <protection hidden="1"/>
    </xf>
    <xf numFmtId="1" fontId="117" fillId="0" borderId="110" xfId="0" applyNumberFormat="1" applyFont="1" applyBorder="1" applyAlignment="1" applyProtection="1">
      <alignment horizontal="center" vertical="top" wrapText="1"/>
      <protection hidden="1"/>
    </xf>
    <xf numFmtId="0" fontId="0" fillId="0" borderId="109" xfId="0" applyBorder="1" applyProtection="1">
      <alignment vertical="top" wrapText="1"/>
      <protection hidden="1"/>
    </xf>
    <xf numFmtId="0" fontId="25" fillId="0" borderId="110" xfId="0" applyFont="1" applyBorder="1" applyProtection="1">
      <alignment vertical="top" wrapText="1"/>
      <protection hidden="1"/>
    </xf>
    <xf numFmtId="0" fontId="44" fillId="0" borderId="109" xfId="0" applyFont="1" applyBorder="1" applyProtection="1">
      <alignment vertical="top" wrapText="1"/>
      <protection hidden="1"/>
    </xf>
    <xf numFmtId="0" fontId="56" fillId="0" borderId="109" xfId="0" applyNumberFormat="1" applyFont="1" applyBorder="1" applyProtection="1">
      <alignment vertical="top" wrapText="1"/>
      <protection hidden="1"/>
    </xf>
    <xf numFmtId="0" fontId="55" fillId="0" borderId="158" xfId="0" applyNumberFormat="1" applyFont="1" applyBorder="1" applyProtection="1">
      <alignment vertical="top" wrapText="1"/>
      <protection hidden="1"/>
    </xf>
    <xf numFmtId="171" fontId="50" fillId="13" borderId="105" xfId="0" applyNumberFormat="1" applyFont="1" applyFill="1" applyBorder="1" applyAlignment="1" applyProtection="1">
      <alignment horizontal="right" vertical="top" wrapText="1"/>
      <protection hidden="1"/>
    </xf>
    <xf numFmtId="171" fontId="49" fillId="13" borderId="105" xfId="0" applyNumberFormat="1" applyFont="1" applyFill="1" applyBorder="1" applyProtection="1">
      <alignment vertical="top" wrapText="1"/>
      <protection hidden="1"/>
    </xf>
    <xf numFmtId="171" fontId="45" fillId="13" borderId="105" xfId="0" applyNumberFormat="1" applyFont="1" applyFill="1" applyBorder="1" applyProtection="1">
      <alignment vertical="top" wrapText="1"/>
      <protection hidden="1"/>
    </xf>
    <xf numFmtId="0" fontId="65" fillId="0" borderId="138" xfId="0" applyFont="1" applyBorder="1" applyAlignment="1" applyProtection="1">
      <alignment horizontal="left" vertical="top" wrapText="1" readingOrder="1"/>
      <protection hidden="1"/>
    </xf>
    <xf numFmtId="0" fontId="64" fillId="0" borderId="159" xfId="0" applyNumberFormat="1" applyFont="1" applyBorder="1" applyProtection="1">
      <alignment vertical="top" wrapText="1"/>
      <protection hidden="1"/>
    </xf>
    <xf numFmtId="0" fontId="57" fillId="0" borderId="128" xfId="0" applyFont="1" applyBorder="1" applyProtection="1">
      <alignment vertical="top" wrapText="1"/>
      <protection hidden="1"/>
    </xf>
    <xf numFmtId="0" fontId="55" fillId="0" borderId="6" xfId="0" applyNumberFormat="1" applyFont="1" applyBorder="1" applyProtection="1">
      <alignment vertical="top" wrapText="1"/>
      <protection hidden="1"/>
    </xf>
    <xf numFmtId="0" fontId="1" fillId="0" borderId="6" xfId="0" applyFont="1" applyBorder="1" applyProtection="1">
      <alignment vertical="top" wrapText="1"/>
      <protection hidden="1"/>
    </xf>
    <xf numFmtId="0" fontId="0" fillId="12" borderId="114" xfId="0" applyFill="1" applyBorder="1" applyProtection="1">
      <alignment vertical="top" wrapText="1"/>
      <protection hidden="1"/>
    </xf>
    <xf numFmtId="0" fontId="17" fillId="13" borderId="6" xfId="0" applyFont="1" applyFill="1" applyBorder="1" applyProtection="1">
      <alignment vertical="top" wrapText="1"/>
      <protection hidden="1"/>
    </xf>
    <xf numFmtId="0" fontId="17" fillId="12" borderId="144" xfId="0" applyFont="1" applyFill="1" applyBorder="1" applyProtection="1">
      <alignment vertical="top" wrapText="1"/>
      <protection hidden="1"/>
    </xf>
    <xf numFmtId="0" fontId="17" fillId="12" borderId="139" xfId="0" applyFont="1" applyFill="1" applyBorder="1" applyProtection="1">
      <alignment vertical="top" wrapText="1"/>
      <protection hidden="1"/>
    </xf>
    <xf numFmtId="0" fontId="21" fillId="0" borderId="126" xfId="0" applyFont="1" applyBorder="1" applyProtection="1">
      <alignment vertical="top" wrapText="1"/>
      <protection hidden="1"/>
    </xf>
    <xf numFmtId="171" fontId="52" fillId="13" borderId="144" xfId="0" applyNumberFormat="1" applyFont="1" applyFill="1" applyBorder="1" applyAlignment="1" applyProtection="1">
      <alignment horizontal="right" vertical="top" wrapText="1"/>
      <protection hidden="1"/>
    </xf>
    <xf numFmtId="2" fontId="66" fillId="0" borderId="43" xfId="0" applyNumberFormat="1" applyFont="1" applyBorder="1" applyProtection="1">
      <alignment vertical="top" wrapText="1"/>
      <protection hidden="1"/>
    </xf>
    <xf numFmtId="0" fontId="57" fillId="0" borderId="114" xfId="0" applyNumberFormat="1" applyFont="1" applyBorder="1" applyProtection="1">
      <alignment vertical="top" wrapText="1"/>
      <protection hidden="1"/>
    </xf>
    <xf numFmtId="0" fontId="21" fillId="0" borderId="137" xfId="0" applyFont="1" applyBorder="1" applyProtection="1">
      <alignment vertical="top" wrapText="1"/>
      <protection hidden="1"/>
    </xf>
    <xf numFmtId="2" fontId="19" fillId="12" borderId="125" xfId="0" applyNumberFormat="1" applyFont="1" applyFill="1" applyBorder="1" applyAlignment="1" applyProtection="1">
      <alignment horizontal="center" vertical="top" wrapText="1"/>
      <protection hidden="1"/>
    </xf>
    <xf numFmtId="2" fontId="19" fillId="12" borderId="126" xfId="0" applyNumberFormat="1" applyFont="1" applyFill="1" applyBorder="1" applyAlignment="1" applyProtection="1">
      <alignment horizontal="center" vertical="top" wrapText="1"/>
      <protection hidden="1"/>
    </xf>
    <xf numFmtId="0" fontId="17" fillId="12" borderId="126" xfId="0" applyFont="1" applyFill="1" applyBorder="1" applyProtection="1">
      <alignment vertical="top" wrapText="1"/>
      <protection hidden="1"/>
    </xf>
    <xf numFmtId="0" fontId="148" fillId="12" borderId="109" xfId="0" applyFont="1" applyFill="1" applyBorder="1" applyProtection="1">
      <alignment vertical="top" wrapText="1"/>
      <protection hidden="1"/>
    </xf>
    <xf numFmtId="0" fontId="148" fillId="12" borderId="126" xfId="0" applyNumberFormat="1" applyFont="1" applyFill="1" applyBorder="1" applyProtection="1">
      <alignment vertical="top" wrapText="1"/>
      <protection hidden="1"/>
    </xf>
    <xf numFmtId="0" fontId="148" fillId="12" borderId="127" xfId="0" applyNumberFormat="1" applyFont="1" applyFill="1" applyBorder="1" applyProtection="1">
      <alignment vertical="top" wrapText="1"/>
      <protection hidden="1"/>
    </xf>
    <xf numFmtId="2" fontId="62" fillId="12" borderId="154" xfId="0" applyNumberFormat="1" applyFont="1" applyFill="1" applyBorder="1" applyProtection="1">
      <alignment vertical="top" wrapText="1"/>
      <protection hidden="1"/>
    </xf>
    <xf numFmtId="0" fontId="45" fillId="0" borderId="110" xfId="0" applyFont="1" applyBorder="1" applyProtection="1">
      <alignment vertical="top" wrapText="1"/>
      <protection hidden="1"/>
    </xf>
    <xf numFmtId="0" fontId="44" fillId="0" borderId="126" xfId="0" applyFont="1" applyBorder="1" applyProtection="1">
      <alignment vertical="top" wrapText="1"/>
      <protection hidden="1"/>
    </xf>
    <xf numFmtId="0" fontId="45" fillId="0" borderId="109" xfId="0" applyNumberFormat="1" applyFont="1" applyBorder="1" applyProtection="1">
      <alignment vertical="top" wrapText="1"/>
      <protection hidden="1"/>
    </xf>
    <xf numFmtId="0" fontId="46" fillId="0" borderId="138" xfId="0" applyFont="1" applyBorder="1" applyAlignment="1" applyProtection="1">
      <alignment horizontal="left" vertical="top" wrapText="1" readingOrder="1"/>
      <protection hidden="1"/>
    </xf>
    <xf numFmtId="0" fontId="120" fillId="0" borderId="159" xfId="0" applyNumberFormat="1" applyFont="1" applyBorder="1" applyProtection="1">
      <alignment vertical="top" wrapText="1"/>
      <protection hidden="1"/>
    </xf>
    <xf numFmtId="0" fontId="44" fillId="0" borderId="114" xfId="0" applyNumberFormat="1" applyFont="1" applyBorder="1" applyProtection="1">
      <alignment vertical="top" wrapText="1"/>
      <protection hidden="1"/>
    </xf>
    <xf numFmtId="2" fontId="51" fillId="0" borderId="109" xfId="0" applyNumberFormat="1" applyFont="1" applyBorder="1" applyProtection="1">
      <alignment vertical="top" wrapText="1"/>
      <protection hidden="1"/>
    </xf>
    <xf numFmtId="49" fontId="14" fillId="12" borderId="153" xfId="0" applyNumberFormat="1" applyFont="1" applyFill="1" applyBorder="1" applyAlignment="1" applyProtection="1">
      <alignment horizontal="left" vertical="top" wrapText="1" readingOrder="1"/>
      <protection hidden="1"/>
    </xf>
    <xf numFmtId="49" fontId="16" fillId="12" borderId="161" xfId="0" applyNumberFormat="1" applyFont="1" applyFill="1" applyBorder="1" applyAlignment="1" applyProtection="1">
      <alignment horizontal="left" vertical="top" wrapText="1" readingOrder="1"/>
      <protection hidden="1"/>
    </xf>
    <xf numFmtId="0" fontId="17" fillId="12" borderId="119" xfId="0" applyFont="1" applyFill="1" applyBorder="1" applyProtection="1">
      <alignment vertical="top" wrapText="1"/>
      <protection hidden="1"/>
    </xf>
    <xf numFmtId="14" fontId="21" fillId="0" borderId="44" xfId="0" applyNumberFormat="1" applyFont="1" applyBorder="1" applyProtection="1">
      <alignment vertical="top" wrapText="1"/>
      <protection hidden="1"/>
    </xf>
    <xf numFmtId="0" fontId="21" fillId="0" borderId="46" xfId="0" applyFont="1" applyBorder="1" applyProtection="1">
      <alignment vertical="top" wrapText="1"/>
      <protection hidden="1"/>
    </xf>
    <xf numFmtId="0" fontId="145" fillId="12" borderId="40" xfId="0" applyNumberFormat="1" applyFont="1" applyFill="1" applyBorder="1" applyProtection="1">
      <alignment vertical="top" wrapText="1"/>
      <protection hidden="1"/>
    </xf>
    <xf numFmtId="0" fontId="14" fillId="0" borderId="51" xfId="0" applyFont="1" applyBorder="1" applyProtection="1">
      <alignment vertical="top" wrapText="1"/>
      <protection hidden="1"/>
    </xf>
    <xf numFmtId="0" fontId="21" fillId="0" borderId="51" xfId="0" applyFont="1" applyBorder="1" applyProtection="1">
      <alignment vertical="top" wrapText="1"/>
      <protection hidden="1"/>
    </xf>
    <xf numFmtId="0" fontId="21" fillId="0" borderId="50" xfId="0" applyFont="1" applyBorder="1" applyProtection="1">
      <alignment vertical="top" wrapText="1"/>
      <protection hidden="1"/>
    </xf>
    <xf numFmtId="49" fontId="12" fillId="20" borderId="1" xfId="0" applyNumberFormat="1" applyFont="1" applyFill="1" applyBorder="1" applyProtection="1">
      <alignment vertical="top" wrapText="1"/>
      <protection hidden="1"/>
    </xf>
    <xf numFmtId="49" fontId="12" fillId="19" borderId="1" xfId="0" applyNumberFormat="1" applyFont="1" applyFill="1" applyBorder="1" applyProtection="1">
      <alignment vertical="top" wrapText="1"/>
      <protection hidden="1"/>
    </xf>
    <xf numFmtId="169" fontId="7" fillId="20" borderId="25" xfId="0" applyNumberFormat="1" applyFont="1" applyFill="1" applyBorder="1" applyProtection="1">
      <alignment vertical="top" wrapText="1"/>
      <protection hidden="1"/>
    </xf>
    <xf numFmtId="169" fontId="7" fillId="19" borderId="3" xfId="0" applyNumberFormat="1" applyFont="1" applyFill="1" applyBorder="1" applyProtection="1">
      <alignment vertical="top" wrapText="1"/>
      <protection hidden="1"/>
    </xf>
    <xf numFmtId="169" fontId="7" fillId="19" borderId="54" xfId="0" applyNumberFormat="1" applyFont="1" applyFill="1" applyBorder="1" applyProtection="1">
      <alignment vertical="top" wrapText="1"/>
      <protection hidden="1"/>
    </xf>
    <xf numFmtId="0" fontId="57" fillId="13" borderId="0" xfId="0" applyNumberFormat="1" applyFont="1" applyFill="1" applyProtection="1">
      <alignment vertical="top" wrapText="1"/>
      <protection hidden="1"/>
    </xf>
    <xf numFmtId="0" fontId="57" fillId="13" borderId="0" xfId="0" applyNumberFormat="1" applyFont="1" applyFill="1" applyAlignment="1" applyProtection="1">
      <alignment horizontal="right" vertical="top" wrapText="1"/>
      <protection hidden="1"/>
    </xf>
    <xf numFmtId="0" fontId="0" fillId="0" borderId="52" xfId="0" applyNumberFormat="1" applyBorder="1" applyProtection="1">
      <alignment vertical="top" wrapText="1"/>
      <protection hidden="1"/>
    </xf>
    <xf numFmtId="14" fontId="0" fillId="0" borderId="6" xfId="0" applyNumberFormat="1" applyBorder="1" applyProtection="1">
      <alignment vertical="top" wrapText="1"/>
      <protection hidden="1"/>
    </xf>
    <xf numFmtId="0" fontId="149" fillId="12" borderId="38" xfId="0" applyNumberFormat="1" applyFont="1" applyFill="1" applyBorder="1" applyProtection="1">
      <alignment vertical="top" wrapText="1"/>
      <protection hidden="1"/>
    </xf>
    <xf numFmtId="1" fontId="57" fillId="0" borderId="0" xfId="0" applyNumberFormat="1" applyFont="1" applyProtection="1">
      <alignment vertical="top" wrapText="1"/>
      <protection hidden="1"/>
    </xf>
    <xf numFmtId="0" fontId="6" fillId="0" borderId="128" xfId="0" applyNumberFormat="1" applyFont="1" applyBorder="1" applyAlignment="1" applyProtection="1">
      <alignment horizontal="right" vertical="top" wrapText="1"/>
      <protection hidden="1"/>
    </xf>
    <xf numFmtId="0" fontId="57" fillId="0" borderId="0" xfId="0" applyNumberFormat="1" applyFont="1" applyProtection="1">
      <alignment vertical="top" wrapText="1"/>
      <protection hidden="1"/>
    </xf>
    <xf numFmtId="14" fontId="57" fillId="0" borderId="6" xfId="0" applyNumberFormat="1" applyFont="1" applyBorder="1" applyProtection="1">
      <alignment vertical="top" wrapText="1"/>
      <protection hidden="1"/>
    </xf>
    <xf numFmtId="49" fontId="47" fillId="0" borderId="42" xfId="0" applyNumberFormat="1" applyFont="1" applyBorder="1" applyAlignment="1" applyProtection="1">
      <alignment horizontal="left" vertical="top" wrapText="1" readingOrder="1"/>
      <protection hidden="1"/>
    </xf>
    <xf numFmtId="0" fontId="149" fillId="12" borderId="40" xfId="0" applyNumberFormat="1" applyFont="1" applyFill="1" applyBorder="1" applyProtection="1">
      <alignment vertical="top" wrapText="1"/>
      <protection hidden="1"/>
    </xf>
    <xf numFmtId="0" fontId="145" fillId="12" borderId="40" xfId="0" applyNumberFormat="1" applyFont="1" applyFill="1" applyBorder="1" applyAlignment="1" applyProtection="1">
      <alignment horizontal="right" vertical="top" wrapText="1"/>
      <protection hidden="1"/>
    </xf>
    <xf numFmtId="0" fontId="145" fillId="12" borderId="162" xfId="0" applyNumberFormat="1" applyFont="1" applyFill="1" applyBorder="1" applyAlignment="1" applyProtection="1">
      <alignment horizontal="right" vertical="top" wrapText="1"/>
      <protection hidden="1"/>
    </xf>
    <xf numFmtId="0" fontId="113" fillId="0" borderId="117" xfId="0" applyNumberFormat="1" applyFont="1" applyBorder="1" applyAlignment="1" applyProtection="1">
      <alignment horizontal="center" vertical="top" wrapText="1"/>
      <protection locked="0" hidden="1"/>
    </xf>
    <xf numFmtId="0" fontId="113" fillId="0" borderId="119" xfId="0" applyNumberFormat="1" applyFont="1" applyBorder="1" applyAlignment="1" applyProtection="1">
      <alignment horizontal="center" vertical="top" wrapText="1"/>
      <protection locked="0" hidden="1"/>
    </xf>
    <xf numFmtId="1" fontId="12" fillId="0" borderId="40" xfId="0" applyNumberFormat="1" applyFont="1" applyBorder="1" applyProtection="1">
      <alignment vertical="top" wrapText="1"/>
      <protection hidden="1"/>
    </xf>
    <xf numFmtId="1" fontId="12" fillId="0" borderId="142" xfId="0" applyNumberFormat="1" applyFont="1" applyBorder="1" applyAlignment="1" applyProtection="1">
      <alignment horizontal="right" vertical="top" wrapText="1"/>
      <protection hidden="1"/>
    </xf>
    <xf numFmtId="1" fontId="12" fillId="0" borderId="120" xfId="0" applyNumberFormat="1" applyFont="1" applyBorder="1" applyAlignment="1" applyProtection="1">
      <alignment horizontal="right" vertical="top" wrapText="1"/>
      <protection hidden="1"/>
    </xf>
    <xf numFmtId="49" fontId="98" fillId="0" borderId="17" xfId="0" applyNumberFormat="1" applyFont="1" applyBorder="1" applyProtection="1">
      <alignment vertical="top" wrapText="1"/>
      <protection locked="0"/>
    </xf>
    <xf numFmtId="49" fontId="87" fillId="0" borderId="18" xfId="0" applyNumberFormat="1" applyFont="1" applyBorder="1" applyProtection="1">
      <alignment vertical="top" wrapText="1"/>
      <protection locked="0"/>
    </xf>
    <xf numFmtId="49" fontId="135" fillId="0" borderId="18" xfId="0" applyNumberFormat="1" applyFont="1" applyBorder="1" applyAlignment="1" applyProtection="1">
      <alignment horizontal="left" vertical="top" wrapText="1" readingOrder="1"/>
      <protection locked="0"/>
    </xf>
    <xf numFmtId="0" fontId="87" fillId="0" borderId="18" xfId="0" applyNumberFormat="1" applyFont="1" applyBorder="1" applyProtection="1">
      <alignment vertical="top" wrapText="1"/>
      <protection locked="0"/>
    </xf>
    <xf numFmtId="0" fontId="92" fillId="3" borderId="19" xfId="0" applyNumberFormat="1" applyFont="1" applyFill="1" applyBorder="1" applyProtection="1">
      <alignment vertical="top" wrapText="1"/>
      <protection locked="0"/>
    </xf>
    <xf numFmtId="49" fontId="98" fillId="0" borderId="24" xfId="0" applyNumberFormat="1" applyFont="1" applyBorder="1" applyProtection="1">
      <alignment vertical="top" wrapText="1"/>
      <protection locked="0"/>
    </xf>
    <xf numFmtId="49" fontId="87" fillId="0" borderId="1" xfId="0" applyNumberFormat="1" applyFont="1" applyBorder="1" applyProtection="1">
      <alignment vertical="top" wrapText="1"/>
      <protection locked="0"/>
    </xf>
    <xf numFmtId="49" fontId="135" fillId="0" borderId="1" xfId="0" applyNumberFormat="1" applyFont="1" applyBorder="1" applyAlignment="1" applyProtection="1">
      <alignment horizontal="left" vertical="top" wrapText="1" readingOrder="1"/>
      <protection locked="0"/>
    </xf>
    <xf numFmtId="0" fontId="87" fillId="0" borderId="1" xfId="0" applyNumberFormat="1" applyFont="1" applyBorder="1" applyProtection="1">
      <alignment vertical="top" wrapText="1"/>
      <protection locked="0"/>
    </xf>
    <xf numFmtId="0" fontId="92" fillId="3" borderId="25" xfId="0" applyNumberFormat="1" applyFont="1" applyFill="1" applyBorder="1" applyProtection="1">
      <alignment vertical="top" wrapText="1"/>
      <protection locked="0"/>
    </xf>
    <xf numFmtId="49" fontId="136" fillId="0" borderId="1" xfId="0" applyNumberFormat="1" applyFont="1" applyBorder="1" applyProtection="1">
      <alignment vertical="top" wrapText="1"/>
      <protection locked="0"/>
    </xf>
    <xf numFmtId="49" fontId="137" fillId="0" borderId="1" xfId="0" applyNumberFormat="1" applyFont="1" applyBorder="1" applyProtection="1">
      <alignment vertical="top" wrapText="1"/>
      <protection locked="0"/>
    </xf>
    <xf numFmtId="49" fontId="92" fillId="3" borderId="25" xfId="0" applyNumberFormat="1" applyFont="1" applyFill="1" applyBorder="1" applyProtection="1">
      <alignment vertical="top" wrapText="1"/>
      <protection locked="0"/>
    </xf>
    <xf numFmtId="0" fontId="98" fillId="0" borderId="24" xfId="0" applyFont="1" applyBorder="1" applyProtection="1">
      <alignment vertical="top" wrapText="1"/>
      <protection locked="0"/>
    </xf>
    <xf numFmtId="0" fontId="87" fillId="0" borderId="1" xfId="0" applyFont="1" applyBorder="1" applyProtection="1">
      <alignment vertical="top" wrapText="1"/>
      <protection locked="0"/>
    </xf>
    <xf numFmtId="0" fontId="135" fillId="0" borderId="1" xfId="0" applyFont="1" applyBorder="1" applyAlignment="1" applyProtection="1">
      <alignment horizontal="left" vertical="top" wrapText="1" readingOrder="1"/>
      <protection locked="0"/>
    </xf>
    <xf numFmtId="0" fontId="137" fillId="0" borderId="1" xfId="0" applyFont="1" applyBorder="1" applyAlignment="1" applyProtection="1">
      <alignment horizontal="left" vertical="top" wrapText="1" readingOrder="1"/>
      <protection locked="0"/>
    </xf>
    <xf numFmtId="0" fontId="138" fillId="0" borderId="24" xfId="0" applyFont="1" applyBorder="1" applyProtection="1">
      <alignment vertical="top" wrapText="1"/>
      <protection locked="0"/>
    </xf>
    <xf numFmtId="0" fontId="138" fillId="0" borderId="1" xfId="0" applyFont="1" applyBorder="1" applyProtection="1">
      <alignment vertical="top" wrapText="1"/>
      <protection locked="0"/>
    </xf>
    <xf numFmtId="0" fontId="138" fillId="0" borderId="1" xfId="0" applyFont="1" applyBorder="1" applyAlignment="1" applyProtection="1">
      <alignment horizontal="left" vertical="top" wrapText="1" readingOrder="1"/>
      <protection locked="0"/>
    </xf>
    <xf numFmtId="0" fontId="135" fillId="0" borderId="1" xfId="0" applyFont="1" applyBorder="1" applyProtection="1">
      <alignment vertical="top" wrapText="1"/>
      <protection locked="0"/>
    </xf>
    <xf numFmtId="0" fontId="136" fillId="0" borderId="1" xfId="0" applyFont="1" applyBorder="1" applyAlignment="1" applyProtection="1">
      <alignment horizontal="left" vertical="top" wrapText="1" readingOrder="1"/>
      <protection locked="0"/>
    </xf>
    <xf numFmtId="0" fontId="139" fillId="0" borderId="1" xfId="0" applyFont="1" applyBorder="1" applyAlignment="1" applyProtection="1">
      <alignment horizontal="left" vertical="top" wrapText="1" readingOrder="1"/>
      <protection locked="0"/>
    </xf>
    <xf numFmtId="0" fontId="136" fillId="0" borderId="24" xfId="0" applyFont="1" applyBorder="1" applyProtection="1">
      <alignment vertical="top" wrapText="1"/>
      <protection locked="0"/>
    </xf>
    <xf numFmtId="0" fontId="139" fillId="0" borderId="1" xfId="0" applyFont="1" applyBorder="1" applyProtection="1">
      <alignment vertical="top" wrapText="1"/>
      <protection locked="0"/>
    </xf>
    <xf numFmtId="0" fontId="137" fillId="0" borderId="24" xfId="0" applyFont="1" applyBorder="1" applyProtection="1">
      <alignment vertical="top" wrapText="1"/>
      <protection locked="0"/>
    </xf>
    <xf numFmtId="0" fontId="136" fillId="0" borderId="1" xfId="0" applyFont="1" applyBorder="1" applyProtection="1">
      <alignment vertical="top" wrapText="1"/>
      <protection locked="0"/>
    </xf>
    <xf numFmtId="0" fontId="137" fillId="0" borderId="1" xfId="0" applyFont="1" applyBorder="1" applyProtection="1">
      <alignment vertical="top" wrapText="1"/>
      <protection locked="0"/>
    </xf>
    <xf numFmtId="164" fontId="74" fillId="3" borderId="1" xfId="0" applyNumberFormat="1" applyFont="1" applyFill="1" applyBorder="1" applyProtection="1">
      <alignment vertical="top" wrapText="1"/>
      <protection locked="0"/>
    </xf>
    <xf numFmtId="171" fontId="0" fillId="13" borderId="6" xfId="0" applyNumberFormat="1" applyFill="1" applyBorder="1">
      <alignment vertical="top" wrapText="1"/>
    </xf>
    <xf numFmtId="171" fontId="6" fillId="13" borderId="6" xfId="0" applyNumberFormat="1" applyFont="1" applyFill="1" applyBorder="1" applyProtection="1">
      <alignment vertical="top" wrapText="1"/>
      <protection hidden="1"/>
    </xf>
    <xf numFmtId="171" fontId="0" fillId="13" borderId="6" xfId="0" applyNumberFormat="1" applyFill="1" applyBorder="1" applyProtection="1">
      <alignment vertical="top" wrapText="1"/>
      <protection hidden="1"/>
    </xf>
    <xf numFmtId="171" fontId="18" fillId="13" borderId="6" xfId="0" applyNumberFormat="1" applyFont="1" applyFill="1" applyBorder="1" applyAlignment="1" applyProtection="1">
      <alignment horizontal="right" vertical="top" wrapText="1" readingOrder="1"/>
      <protection hidden="1"/>
    </xf>
    <xf numFmtId="0" fontId="0" fillId="13" borderId="6" xfId="0" applyFill="1" applyBorder="1">
      <alignment vertical="top" wrapText="1"/>
    </xf>
    <xf numFmtId="0" fontId="12" fillId="0" borderId="0" xfId="0" applyNumberFormat="1" applyFont="1">
      <alignment vertical="top" wrapText="1"/>
    </xf>
    <xf numFmtId="1" fontId="12" fillId="13" borderId="6" xfId="0" applyNumberFormat="1" applyFont="1" applyFill="1" applyBorder="1" applyAlignment="1" applyProtection="1">
      <alignment horizontal="center" vertical="top" wrapText="1"/>
      <protection hidden="1"/>
    </xf>
    <xf numFmtId="171" fontId="12" fillId="0" borderId="0" xfId="0" applyNumberFormat="1" applyFont="1">
      <alignment vertical="top" wrapText="1"/>
    </xf>
    <xf numFmtId="49" fontId="1" fillId="22" borderId="40" xfId="0" applyNumberFormat="1" applyFont="1" applyFill="1" applyBorder="1" applyProtection="1">
      <alignment vertical="top" wrapText="1"/>
      <protection locked="0"/>
    </xf>
    <xf numFmtId="0" fontId="1" fillId="0" borderId="41" xfId="0" applyNumberFormat="1" applyFont="1" applyBorder="1">
      <alignment vertical="top" wrapText="1"/>
    </xf>
    <xf numFmtId="0" fontId="77" fillId="0" borderId="0" xfId="0" applyNumberFormat="1" applyFont="1">
      <alignment vertical="top" wrapText="1"/>
    </xf>
    <xf numFmtId="0" fontId="1" fillId="0" borderId="38" xfId="0" applyNumberFormat="1" applyFont="1" applyBorder="1">
      <alignment vertical="top" wrapText="1"/>
    </xf>
    <xf numFmtId="0" fontId="77" fillId="0" borderId="6" xfId="0" applyNumberFormat="1" applyFont="1" applyBorder="1">
      <alignment vertical="top" wrapText="1"/>
    </xf>
    <xf numFmtId="0" fontId="77" fillId="0" borderId="6" xfId="0" applyFont="1" applyBorder="1">
      <alignment vertical="top" wrapText="1"/>
    </xf>
    <xf numFmtId="0" fontId="46" fillId="13" borderId="6" xfId="0" applyFont="1" applyFill="1" applyBorder="1" applyAlignment="1" applyProtection="1">
      <alignment vertical="top" wrapText="1" readingOrder="1"/>
      <protection hidden="1"/>
    </xf>
    <xf numFmtId="0" fontId="49" fillId="0" borderId="122" xfId="0" applyNumberFormat="1" applyFont="1" applyBorder="1" applyProtection="1">
      <alignment vertical="top" wrapText="1"/>
      <protection hidden="1"/>
    </xf>
    <xf numFmtId="0" fontId="48" fillId="0" borderId="6" xfId="0" applyFont="1" applyBorder="1" applyProtection="1">
      <alignment vertical="top" wrapText="1"/>
      <protection hidden="1"/>
    </xf>
    <xf numFmtId="0" fontId="45" fillId="0" borderId="122" xfId="0" applyNumberFormat="1" applyFont="1" applyBorder="1" applyProtection="1">
      <alignment vertical="top" wrapText="1"/>
      <protection hidden="1"/>
    </xf>
    <xf numFmtId="0" fontId="48" fillId="0" borderId="6" xfId="0" applyNumberFormat="1" applyFont="1" applyBorder="1" applyProtection="1">
      <alignment vertical="top" wrapText="1"/>
      <protection hidden="1"/>
    </xf>
    <xf numFmtId="0" fontId="48" fillId="0" borderId="122" xfId="0" applyFont="1" applyBorder="1" applyProtection="1">
      <alignment vertical="top" wrapText="1"/>
      <protection hidden="1"/>
    </xf>
    <xf numFmtId="0" fontId="44" fillId="0" borderId="122" xfId="0" applyFont="1" applyBorder="1" applyProtection="1">
      <alignment vertical="top" wrapText="1"/>
      <protection hidden="1"/>
    </xf>
    <xf numFmtId="167" fontId="50" fillId="13" borderId="6" xfId="0" applyNumberFormat="1" applyFont="1" applyFill="1" applyBorder="1" applyProtection="1">
      <alignment vertical="top" wrapText="1"/>
      <protection hidden="1"/>
    </xf>
    <xf numFmtId="171" fontId="50" fillId="13" borderId="6" xfId="0" applyNumberFormat="1" applyFont="1" applyFill="1" applyBorder="1" applyProtection="1">
      <alignment vertical="top" wrapText="1"/>
      <protection hidden="1"/>
    </xf>
    <xf numFmtId="2" fontId="49" fillId="13" borderId="6" xfId="0" applyNumberFormat="1" applyFont="1" applyFill="1" applyBorder="1" applyProtection="1">
      <alignment vertical="top" wrapText="1"/>
      <protection hidden="1"/>
    </xf>
    <xf numFmtId="0" fontId="152" fillId="13" borderId="6" xfId="0" applyFont="1" applyFill="1" applyBorder="1" applyProtection="1">
      <alignment vertical="top" wrapText="1"/>
      <protection hidden="1"/>
    </xf>
    <xf numFmtId="0" fontId="153" fillId="13" borderId="6" xfId="0" applyNumberFormat="1" applyFont="1" applyFill="1" applyBorder="1" applyProtection="1">
      <alignment vertical="top" wrapText="1"/>
      <protection hidden="1"/>
    </xf>
    <xf numFmtId="0" fontId="153" fillId="13" borderId="122" xfId="0" applyFont="1" applyFill="1" applyBorder="1" applyProtection="1">
      <alignment vertical="top" wrapText="1"/>
      <protection hidden="1"/>
    </xf>
    <xf numFmtId="0" fontId="48" fillId="13" borderId="124" xfId="0" applyFont="1" applyFill="1" applyBorder="1" applyAlignment="1" applyProtection="1">
      <alignment horizontal="left" vertical="top" wrapText="1" readingOrder="1"/>
      <protection hidden="1"/>
    </xf>
    <xf numFmtId="0" fontId="48" fillId="13" borderId="124" xfId="0" applyFont="1" applyFill="1" applyBorder="1" applyProtection="1">
      <alignment vertical="top" wrapText="1"/>
      <protection hidden="1"/>
    </xf>
    <xf numFmtId="0" fontId="48" fillId="13" borderId="134" xfId="0" applyFont="1" applyFill="1" applyBorder="1" applyProtection="1">
      <alignment vertical="top" wrapText="1"/>
      <protection hidden="1"/>
    </xf>
    <xf numFmtId="0" fontId="95" fillId="0" borderId="125" xfId="0" applyFont="1" applyBorder="1" applyProtection="1">
      <alignment vertical="top" wrapText="1"/>
      <protection hidden="1"/>
    </xf>
    <xf numFmtId="0" fontId="95" fillId="0" borderId="126" xfId="0" applyFont="1" applyBorder="1" applyProtection="1">
      <alignment vertical="top" wrapText="1"/>
      <protection hidden="1"/>
    </xf>
    <xf numFmtId="0" fontId="95" fillId="0" borderId="127" xfId="0" applyFont="1" applyBorder="1" applyProtection="1">
      <alignment vertical="top" wrapText="1"/>
      <protection hidden="1"/>
    </xf>
    <xf numFmtId="0" fontId="95" fillId="0" borderId="128" xfId="0" applyFont="1" applyBorder="1" applyProtection="1">
      <alignment vertical="top" wrapText="1"/>
      <protection hidden="1"/>
    </xf>
    <xf numFmtId="0" fontId="95" fillId="0" borderId="6" xfId="0" applyFont="1" applyBorder="1" applyProtection="1">
      <alignment vertical="top" wrapText="1"/>
      <protection hidden="1"/>
    </xf>
    <xf numFmtId="0" fontId="95" fillId="0" borderId="122" xfId="0" applyFont="1" applyBorder="1" applyProtection="1">
      <alignment vertical="top" wrapText="1"/>
      <protection hidden="1"/>
    </xf>
    <xf numFmtId="0" fontId="95" fillId="0" borderId="129" xfId="0" applyFont="1" applyBorder="1" applyProtection="1">
      <alignment vertical="top" wrapText="1"/>
      <protection hidden="1"/>
    </xf>
    <xf numFmtId="0" fontId="95" fillId="0" borderId="7" xfId="0" applyFont="1" applyBorder="1" applyProtection="1">
      <alignment vertical="top" wrapText="1"/>
      <protection hidden="1"/>
    </xf>
    <xf numFmtId="0" fontId="95" fillId="0" borderId="130" xfId="0" applyFont="1" applyBorder="1" applyProtection="1">
      <alignment vertical="top" wrapText="1"/>
      <protection hidden="1"/>
    </xf>
    <xf numFmtId="0" fontId="96" fillId="0" borderId="131" xfId="0" applyFont="1" applyBorder="1" applyProtection="1">
      <alignment vertical="top" wrapText="1"/>
      <protection hidden="1"/>
    </xf>
    <xf numFmtId="0" fontId="95" fillId="0" borderId="12" xfId="0" applyFont="1" applyBorder="1" applyProtection="1">
      <alignment vertical="top" wrapText="1"/>
      <protection hidden="1"/>
    </xf>
    <xf numFmtId="0" fontId="95" fillId="0" borderId="132" xfId="0" applyFont="1" applyBorder="1" applyProtection="1">
      <alignment vertical="top" wrapText="1"/>
      <protection hidden="1"/>
    </xf>
    <xf numFmtId="0" fontId="95" fillId="0" borderId="133" xfId="0" applyFont="1" applyBorder="1" applyProtection="1">
      <alignment vertical="top" wrapText="1"/>
      <protection hidden="1"/>
    </xf>
    <xf numFmtId="0" fontId="95" fillId="0" borderId="124" xfId="0" applyFont="1" applyBorder="1" applyProtection="1">
      <alignment vertical="top" wrapText="1"/>
      <protection hidden="1"/>
    </xf>
    <xf numFmtId="0" fontId="95" fillId="0" borderId="134" xfId="0" applyFont="1" applyBorder="1" applyProtection="1">
      <alignment vertical="top" wrapText="1"/>
      <protection hidden="1"/>
    </xf>
    <xf numFmtId="0" fontId="105" fillId="0" borderId="42" xfId="0" applyNumberFormat="1" applyFont="1" applyBorder="1" applyAlignment="1">
      <alignment horizontal="center" vertical="top" wrapText="1"/>
    </xf>
    <xf numFmtId="0" fontId="105" fillId="0" borderId="41" xfId="0" applyNumberFormat="1" applyFont="1" applyBorder="1" applyAlignment="1">
      <alignment horizontal="center" vertical="top" wrapText="1"/>
    </xf>
    <xf numFmtId="0" fontId="90" fillId="13" borderId="38" xfId="0" applyFont="1" applyFill="1" applyBorder="1" applyProtection="1">
      <alignment vertical="top" wrapText="1"/>
      <protection hidden="1"/>
    </xf>
    <xf numFmtId="0" fontId="90" fillId="13" borderId="39" xfId="0" applyFont="1" applyFill="1" applyBorder="1" applyProtection="1">
      <alignment vertical="top" wrapText="1"/>
      <protection hidden="1"/>
    </xf>
    <xf numFmtId="0" fontId="80" fillId="5" borderId="3" xfId="0" applyFont="1" applyFill="1" applyBorder="1" applyAlignment="1" applyProtection="1">
      <alignment horizontal="left" vertical="top" wrapText="1"/>
      <protection hidden="1"/>
    </xf>
    <xf numFmtId="0" fontId="80" fillId="5" borderId="4" xfId="0" applyFont="1" applyFill="1" applyBorder="1" applyAlignment="1" applyProtection="1">
      <alignment horizontal="left" vertical="top" wrapText="1"/>
      <protection hidden="1"/>
    </xf>
    <xf numFmtId="0" fontId="80" fillId="5" borderId="10" xfId="0" applyFont="1" applyFill="1" applyBorder="1" applyAlignment="1" applyProtection="1">
      <alignment horizontal="left" vertical="top" wrapText="1"/>
      <protection hidden="1"/>
    </xf>
    <xf numFmtId="0" fontId="81" fillId="0" borderId="42" xfId="0" applyNumberFormat="1" applyFont="1" applyBorder="1" applyProtection="1">
      <alignment vertical="top" wrapText="1"/>
      <protection hidden="1"/>
    </xf>
    <xf numFmtId="0" fontId="81" fillId="0" borderId="41" xfId="0" applyNumberFormat="1" applyFont="1" applyBorder="1" applyProtection="1">
      <alignment vertical="top" wrapText="1"/>
      <protection hidden="1"/>
    </xf>
    <xf numFmtId="165" fontId="114" fillId="2" borderId="1" xfId="0" applyNumberFormat="1" applyFont="1" applyFill="1" applyBorder="1" applyProtection="1">
      <alignment vertical="top" wrapText="1"/>
      <protection hidden="1"/>
    </xf>
    <xf numFmtId="0" fontId="8" fillId="2" borderId="1" xfId="0" applyFont="1" applyFill="1" applyBorder="1" applyProtection="1">
      <alignment vertical="top" wrapText="1"/>
      <protection hidden="1"/>
    </xf>
    <xf numFmtId="165" fontId="9" fillId="3" borderId="9" xfId="0" applyNumberFormat="1" applyFont="1" applyFill="1" applyBorder="1" applyProtection="1">
      <alignment vertical="top" wrapText="1"/>
      <protection hidden="1"/>
    </xf>
    <xf numFmtId="0" fontId="6" fillId="2" borderId="1" xfId="0" applyFont="1" applyFill="1" applyBorder="1" applyProtection="1">
      <alignment vertical="top" wrapText="1"/>
      <protection hidden="1"/>
    </xf>
    <xf numFmtId="49" fontId="7" fillId="3" borderId="3" xfId="0" applyNumberFormat="1" applyFont="1" applyFill="1" applyBorder="1" applyProtection="1">
      <alignment vertical="top" wrapText="1"/>
      <protection hidden="1"/>
    </xf>
    <xf numFmtId="49" fontId="7" fillId="3" borderId="20" xfId="0" applyNumberFormat="1" applyFont="1" applyFill="1" applyBorder="1" applyProtection="1">
      <alignment vertical="top" wrapText="1"/>
      <protection hidden="1"/>
    </xf>
    <xf numFmtId="0" fontId="6" fillId="5" borderId="1" xfId="0" applyFont="1" applyFill="1" applyBorder="1" applyProtection="1">
      <alignment vertical="top" wrapText="1"/>
      <protection hidden="1"/>
    </xf>
    <xf numFmtId="49" fontId="67" fillId="2" borderId="54" xfId="0" applyNumberFormat="1" applyFont="1" applyFill="1" applyBorder="1" applyAlignment="1" applyProtection="1">
      <alignment horizontal="center" vertical="top" wrapText="1"/>
      <protection hidden="1"/>
    </xf>
    <xf numFmtId="49" fontId="67" fillId="2" borderId="55" xfId="0" applyNumberFormat="1" applyFont="1" applyFill="1" applyBorder="1" applyAlignment="1" applyProtection="1">
      <alignment horizontal="center" vertical="top" wrapText="1"/>
      <protection hidden="1"/>
    </xf>
    <xf numFmtId="0" fontId="5" fillId="0" borderId="0" xfId="0" applyFont="1" applyAlignment="1" applyProtection="1">
      <alignment horizontal="center" vertical="center"/>
      <protection hidden="1"/>
    </xf>
    <xf numFmtId="49" fontId="8" fillId="4" borderId="1" xfId="0" applyNumberFormat="1" applyFont="1" applyFill="1" applyBorder="1" applyProtection="1">
      <alignment vertical="top" wrapText="1"/>
      <protection hidden="1"/>
    </xf>
    <xf numFmtId="49" fontId="12" fillId="3" borderId="9" xfId="0" applyNumberFormat="1" applyFont="1" applyFill="1" applyBorder="1" applyProtection="1">
      <alignment vertical="top" wrapText="1"/>
      <protection hidden="1"/>
    </xf>
    <xf numFmtId="0" fontId="6" fillId="2" borderId="9" xfId="0" applyFont="1" applyFill="1" applyBorder="1" applyProtection="1">
      <alignment vertical="top" wrapText="1"/>
      <protection hidden="1"/>
    </xf>
    <xf numFmtId="49" fontId="7" fillId="8" borderId="3" xfId="0" applyNumberFormat="1" applyFont="1" applyFill="1" applyBorder="1" applyProtection="1">
      <alignment vertical="top" wrapText="1"/>
      <protection hidden="1"/>
    </xf>
    <xf numFmtId="0" fontId="6" fillId="2" borderId="3" xfId="0" applyFont="1" applyFill="1" applyBorder="1" applyProtection="1">
      <alignment vertical="top" wrapText="1"/>
      <protection hidden="1"/>
    </xf>
    <xf numFmtId="0" fontId="6" fillId="8" borderId="8" xfId="0" applyFont="1" applyFill="1" applyBorder="1" applyProtection="1">
      <alignment vertical="top" wrapText="1"/>
      <protection hidden="1"/>
    </xf>
    <xf numFmtId="0" fontId="6" fillId="2" borderId="13" xfId="0" applyFont="1" applyFill="1" applyBorder="1" applyProtection="1">
      <alignment vertical="top" wrapText="1"/>
      <protection hidden="1"/>
    </xf>
    <xf numFmtId="0" fontId="6" fillId="9" borderId="7" xfId="0" applyFont="1" applyFill="1" applyBorder="1" applyProtection="1">
      <alignment vertical="top" wrapText="1"/>
      <protection hidden="1"/>
    </xf>
    <xf numFmtId="0" fontId="6" fillId="2" borderId="12" xfId="0" applyFont="1" applyFill="1" applyBorder="1" applyProtection="1">
      <alignment vertical="top" wrapText="1"/>
      <protection hidden="1"/>
    </xf>
    <xf numFmtId="49" fontId="7" fillId="9" borderId="4" xfId="0" applyNumberFormat="1" applyFont="1" applyFill="1" applyBorder="1" applyProtection="1">
      <alignment vertical="top" wrapText="1"/>
      <protection hidden="1"/>
    </xf>
    <xf numFmtId="0" fontId="6" fillId="2" borderId="5" xfId="0" applyFont="1" applyFill="1" applyBorder="1" applyProtection="1">
      <alignment vertical="top" wrapText="1"/>
      <protection hidden="1"/>
    </xf>
    <xf numFmtId="49" fontId="7" fillId="16" borderId="10" xfId="0" applyNumberFormat="1" applyFont="1" applyFill="1" applyBorder="1" applyProtection="1">
      <alignment vertical="top" wrapText="1"/>
      <protection hidden="1"/>
    </xf>
    <xf numFmtId="0" fontId="6" fillId="16" borderId="10" xfId="0" applyFont="1" applyFill="1" applyBorder="1" applyProtection="1">
      <alignment vertical="top" wrapText="1"/>
      <protection hidden="1"/>
    </xf>
    <xf numFmtId="0" fontId="6" fillId="16" borderId="11" xfId="0" applyFont="1" applyFill="1" applyBorder="1" applyProtection="1">
      <alignment vertical="top" wrapText="1"/>
      <protection hidden="1"/>
    </xf>
    <xf numFmtId="49" fontId="9" fillId="3" borderId="1" xfId="0" applyNumberFormat="1" applyFont="1" applyFill="1" applyBorder="1" applyProtection="1">
      <alignment vertical="top" wrapText="1"/>
      <protection hidden="1"/>
    </xf>
    <xf numFmtId="0" fontId="10" fillId="5" borderId="1" xfId="0" applyFont="1" applyFill="1" applyBorder="1" applyProtection="1">
      <alignment vertical="top" wrapText="1"/>
      <protection hidden="1"/>
    </xf>
    <xf numFmtId="49" fontId="11" fillId="2" borderId="25" xfId="0" applyNumberFormat="1" applyFont="1" applyFill="1" applyBorder="1" applyProtection="1">
      <alignment vertical="top" wrapText="1"/>
      <protection hidden="1"/>
    </xf>
    <xf numFmtId="49" fontId="9" fillId="2" borderId="28" xfId="0" applyNumberFormat="1" applyFont="1" applyFill="1" applyBorder="1" applyProtection="1">
      <alignment vertical="top" wrapText="1"/>
      <protection hidden="1"/>
    </xf>
    <xf numFmtId="49" fontId="69" fillId="7" borderId="7" xfId="0" applyNumberFormat="1" applyFont="1" applyFill="1" applyBorder="1" applyProtection="1">
      <alignment vertical="top" wrapText="1"/>
      <protection hidden="1"/>
    </xf>
    <xf numFmtId="49" fontId="70" fillId="7" borderId="58" xfId="0" applyNumberFormat="1" applyFont="1" applyFill="1" applyBorder="1" applyProtection="1">
      <alignment vertical="top" wrapText="1"/>
      <protection hidden="1"/>
    </xf>
    <xf numFmtId="2" fontId="48" fillId="0" borderId="41" xfId="0" applyNumberFormat="1" applyFont="1" applyBorder="1" applyProtection="1">
      <alignment vertical="top" wrapText="1"/>
      <protection hidden="1"/>
    </xf>
    <xf numFmtId="2" fontId="44" fillId="0" borderId="38" xfId="0" applyNumberFormat="1" applyFont="1" applyBorder="1" applyProtection="1">
      <alignment vertical="top" wrapText="1"/>
      <protection hidden="1"/>
    </xf>
    <xf numFmtId="2" fontId="44" fillId="0" borderId="41" xfId="0" applyNumberFormat="1" applyFont="1" applyBorder="1" applyProtection="1">
      <alignment vertical="top" wrapText="1"/>
      <protection hidden="1"/>
    </xf>
    <xf numFmtId="167" fontId="46" fillId="12" borderId="42" xfId="0" applyNumberFormat="1" applyFont="1" applyFill="1" applyBorder="1" applyProtection="1">
      <alignment vertical="top" wrapText="1"/>
      <protection hidden="1"/>
    </xf>
    <xf numFmtId="167" fontId="46" fillId="12" borderId="41" xfId="0" applyNumberFormat="1" applyFont="1" applyFill="1" applyBorder="1" applyProtection="1">
      <alignment vertical="top" wrapText="1"/>
      <protection hidden="1"/>
    </xf>
    <xf numFmtId="167" fontId="46" fillId="12" borderId="38" xfId="0" applyNumberFormat="1" applyFont="1" applyFill="1" applyBorder="1" applyProtection="1">
      <alignment vertical="top" wrapText="1"/>
      <protection hidden="1"/>
    </xf>
    <xf numFmtId="0" fontId="44" fillId="12" borderId="38" xfId="0" applyFont="1" applyFill="1" applyBorder="1" applyProtection="1">
      <alignment vertical="top" wrapText="1"/>
      <protection hidden="1"/>
    </xf>
    <xf numFmtId="0" fontId="45" fillId="0" borderId="38" xfId="0" applyNumberFormat="1" applyFont="1" applyBorder="1" applyAlignment="1" applyProtection="1">
      <alignment horizontal="center" vertical="top" wrapText="1"/>
      <protection hidden="1"/>
    </xf>
    <xf numFmtId="0" fontId="44" fillId="0" borderId="38" xfId="0" applyFont="1" applyBorder="1" applyAlignment="1" applyProtection="1">
      <alignment horizontal="center" vertical="top" wrapText="1"/>
      <protection hidden="1"/>
    </xf>
    <xf numFmtId="171" fontId="50" fillId="12" borderId="38" xfId="0" applyNumberFormat="1" applyFont="1" applyFill="1" applyBorder="1" applyAlignment="1" applyProtection="1">
      <alignment horizontal="right" vertical="top" wrapText="1"/>
      <protection hidden="1"/>
    </xf>
    <xf numFmtId="171" fontId="44" fillId="12" borderId="38" xfId="0" applyNumberFormat="1" applyFont="1" applyFill="1" applyBorder="1" applyProtection="1">
      <alignment vertical="top" wrapText="1"/>
      <protection hidden="1"/>
    </xf>
    <xf numFmtId="2" fontId="85" fillId="0" borderId="101" xfId="0" applyNumberFormat="1" applyFont="1" applyBorder="1" applyAlignment="1" applyProtection="1">
      <alignment horizontal="center" vertical="top" wrapText="1" readingOrder="1"/>
      <protection hidden="1"/>
    </xf>
    <xf numFmtId="2" fontId="86" fillId="0" borderId="102" xfId="0" applyNumberFormat="1" applyFont="1" applyBorder="1" applyProtection="1">
      <alignment vertical="top" wrapText="1"/>
      <protection hidden="1"/>
    </xf>
    <xf numFmtId="2" fontId="84" fillId="0" borderId="102" xfId="0" applyNumberFormat="1" applyFont="1" applyBorder="1" applyAlignment="1" applyProtection="1">
      <alignment horizontal="left" vertical="top" wrapText="1" readingOrder="1"/>
      <protection hidden="1"/>
    </xf>
    <xf numFmtId="2" fontId="82" fillId="0" borderId="102" xfId="0" applyNumberFormat="1" applyFont="1" applyBorder="1" applyProtection="1">
      <alignment vertical="top" wrapText="1"/>
      <protection hidden="1"/>
    </xf>
    <xf numFmtId="2" fontId="84" fillId="0" borderId="38" xfId="0" applyNumberFormat="1" applyFont="1" applyBorder="1" applyAlignment="1" applyProtection="1">
      <alignment horizontal="left" vertical="top" wrapText="1" readingOrder="1"/>
      <protection hidden="1"/>
    </xf>
    <xf numFmtId="2" fontId="82" fillId="0" borderId="38" xfId="0" applyNumberFormat="1" applyFont="1" applyBorder="1" applyProtection="1">
      <alignment vertical="top" wrapText="1"/>
      <protection hidden="1"/>
    </xf>
    <xf numFmtId="0" fontId="50" fillId="0" borderId="38" xfId="0" applyNumberFormat="1" applyFont="1" applyBorder="1" applyAlignment="1" applyProtection="1">
      <alignment horizontal="center" vertical="top" wrapText="1" readingOrder="1"/>
      <protection hidden="1"/>
    </xf>
    <xf numFmtId="0" fontId="49" fillId="0" borderId="42" xfId="0" applyFont="1" applyBorder="1" applyProtection="1">
      <alignment vertical="top" wrapText="1"/>
      <protection hidden="1"/>
    </xf>
    <xf numFmtId="49" fontId="48" fillId="0" borderId="104" xfId="0" applyNumberFormat="1" applyFont="1" applyBorder="1" applyAlignment="1" applyProtection="1">
      <alignment horizontal="left" vertical="top" wrapText="1" readingOrder="1"/>
      <protection hidden="1"/>
    </xf>
    <xf numFmtId="0" fontId="44" fillId="0" borderId="38" xfId="0" applyFont="1" applyBorder="1" applyProtection="1">
      <alignment vertical="top" wrapText="1"/>
      <protection hidden="1"/>
    </xf>
    <xf numFmtId="0" fontId="44" fillId="0" borderId="104" xfId="0" applyFont="1" applyBorder="1" applyProtection="1">
      <alignment vertical="top" wrapText="1"/>
      <protection hidden="1"/>
    </xf>
    <xf numFmtId="2" fontId="46" fillId="4" borderId="135" xfId="0" applyNumberFormat="1" applyFont="1" applyFill="1" applyBorder="1" applyAlignment="1" applyProtection="1">
      <alignment horizontal="left" vertical="top" wrapText="1"/>
      <protection hidden="1"/>
    </xf>
    <xf numFmtId="2" fontId="46" fillId="4" borderId="126" xfId="0" applyNumberFormat="1" applyFont="1" applyFill="1" applyBorder="1" applyAlignment="1" applyProtection="1">
      <alignment horizontal="left" vertical="top" wrapText="1"/>
      <protection hidden="1"/>
    </xf>
    <xf numFmtId="2" fontId="46" fillId="4" borderId="127" xfId="0" applyNumberFormat="1" applyFont="1" applyFill="1" applyBorder="1" applyAlignment="1" applyProtection="1">
      <alignment horizontal="left" vertical="top" wrapText="1"/>
      <protection hidden="1"/>
    </xf>
    <xf numFmtId="0" fontId="145" fillId="12" borderId="105" xfId="0" applyNumberFormat="1" applyFont="1" applyFill="1" applyBorder="1" applyProtection="1">
      <alignment vertical="top" wrapText="1"/>
      <protection hidden="1"/>
    </xf>
    <xf numFmtId="0" fontId="146" fillId="12" borderId="105" xfId="0" applyFont="1" applyFill="1" applyBorder="1" applyProtection="1">
      <alignment vertical="top" wrapText="1"/>
      <protection hidden="1"/>
    </xf>
    <xf numFmtId="1" fontId="22" fillId="0" borderId="142" xfId="0" applyNumberFormat="1" applyFont="1" applyBorder="1" applyProtection="1">
      <alignment vertical="top" wrapText="1"/>
      <protection hidden="1"/>
    </xf>
    <xf numFmtId="1" fontId="0" fillId="0" borderId="40" xfId="0" applyNumberFormat="1" applyBorder="1" applyProtection="1">
      <alignment vertical="top" wrapText="1"/>
      <protection hidden="1"/>
    </xf>
    <xf numFmtId="1" fontId="0" fillId="0" borderId="42" xfId="0" applyNumberFormat="1" applyBorder="1" applyProtection="1">
      <alignment vertical="top" wrapText="1"/>
      <protection hidden="1"/>
    </xf>
    <xf numFmtId="1" fontId="0" fillId="0" borderId="106" xfId="0" applyNumberFormat="1" applyBorder="1" applyProtection="1">
      <alignment vertical="top" wrapText="1"/>
      <protection hidden="1"/>
    </xf>
    <xf numFmtId="1" fontId="0" fillId="0" borderId="107" xfId="0" applyNumberFormat="1" applyBorder="1" applyProtection="1">
      <alignment vertical="top" wrapText="1"/>
      <protection hidden="1"/>
    </xf>
    <xf numFmtId="1" fontId="0" fillId="0" borderId="156" xfId="0" applyNumberFormat="1" applyBorder="1" applyProtection="1">
      <alignment vertical="top" wrapText="1"/>
      <protection hidden="1"/>
    </xf>
    <xf numFmtId="2" fontId="19" fillId="0" borderId="41" xfId="0" applyNumberFormat="1" applyFont="1" applyBorder="1" applyProtection="1">
      <alignment vertical="top" wrapText="1"/>
      <protection hidden="1"/>
    </xf>
    <xf numFmtId="2" fontId="0" fillId="0" borderId="38" xfId="0" applyNumberFormat="1" applyBorder="1" applyProtection="1">
      <alignment vertical="top" wrapText="1"/>
      <protection hidden="1"/>
    </xf>
    <xf numFmtId="2" fontId="145" fillId="12" borderId="120" xfId="0" applyNumberFormat="1" applyFont="1" applyFill="1" applyBorder="1" applyProtection="1">
      <alignment vertical="top" wrapText="1"/>
      <protection hidden="1"/>
    </xf>
    <xf numFmtId="2" fontId="146" fillId="12" borderId="121" xfId="0" applyNumberFormat="1" applyFont="1" applyFill="1" applyBorder="1" applyProtection="1">
      <alignment vertical="top" wrapText="1"/>
      <protection hidden="1"/>
    </xf>
    <xf numFmtId="2" fontId="146" fillId="12" borderId="161" xfId="0" applyNumberFormat="1" applyFont="1" applyFill="1" applyBorder="1" applyProtection="1">
      <alignment vertical="top" wrapText="1"/>
      <protection hidden="1"/>
    </xf>
    <xf numFmtId="49" fontId="21" fillId="4" borderId="38" xfId="0" applyNumberFormat="1" applyFont="1" applyFill="1" applyBorder="1" applyProtection="1">
      <alignment vertical="top" wrapText="1"/>
      <protection hidden="1"/>
    </xf>
    <xf numFmtId="0" fontId="0" fillId="0" borderId="38" xfId="0" applyBorder="1" applyProtection="1">
      <alignment vertical="top" wrapText="1"/>
      <protection hidden="1"/>
    </xf>
    <xf numFmtId="2" fontId="145" fillId="12" borderId="38" xfId="0" applyNumberFormat="1" applyFont="1" applyFill="1" applyBorder="1" applyProtection="1">
      <alignment vertical="top" wrapText="1"/>
      <protection hidden="1"/>
    </xf>
    <xf numFmtId="2" fontId="146" fillId="12" borderId="38" xfId="0" applyNumberFormat="1" applyFont="1" applyFill="1" applyBorder="1" applyProtection="1">
      <alignment vertical="top" wrapText="1"/>
      <protection hidden="1"/>
    </xf>
    <xf numFmtId="49" fontId="145" fillId="12" borderId="38" xfId="0" applyNumberFormat="1" applyFont="1" applyFill="1" applyBorder="1" applyAlignment="1" applyProtection="1">
      <alignment horizontal="left" vertical="top" wrapText="1" readingOrder="1"/>
      <protection hidden="1"/>
    </xf>
    <xf numFmtId="0" fontId="146" fillId="12" borderId="38" xfId="0" applyFont="1" applyFill="1" applyBorder="1" applyProtection="1">
      <alignment vertical="top" wrapText="1"/>
      <protection hidden="1"/>
    </xf>
    <xf numFmtId="49" fontId="21" fillId="0" borderId="38" xfId="0" applyNumberFormat="1" applyFont="1" applyBorder="1" applyProtection="1">
      <alignment vertical="top" wrapText="1"/>
      <protection hidden="1"/>
    </xf>
    <xf numFmtId="164" fontId="19" fillId="0" borderId="43" xfId="0" applyNumberFormat="1" applyFont="1" applyBorder="1" applyAlignment="1" applyProtection="1">
      <alignment horizontal="right" vertical="top" wrapText="1"/>
      <protection hidden="1"/>
    </xf>
    <xf numFmtId="164" fontId="19" fillId="0" borderId="144" xfId="0" applyNumberFormat="1" applyFont="1" applyBorder="1" applyAlignment="1" applyProtection="1">
      <alignment horizontal="right" vertical="top" wrapText="1"/>
      <protection hidden="1"/>
    </xf>
    <xf numFmtId="49" fontId="16" fillId="12" borderId="38" xfId="0" applyNumberFormat="1" applyFont="1" applyFill="1" applyBorder="1" applyProtection="1">
      <alignment vertical="top" wrapText="1"/>
      <protection hidden="1"/>
    </xf>
    <xf numFmtId="0" fontId="0" fillId="12" borderId="38" xfId="0" applyFill="1" applyBorder="1" applyProtection="1">
      <alignment vertical="top" wrapText="1"/>
      <protection hidden="1"/>
    </xf>
    <xf numFmtId="0" fontId="0" fillId="12" borderId="105" xfId="0" applyFill="1" applyBorder="1" applyProtection="1">
      <alignment vertical="top" wrapText="1"/>
      <protection hidden="1"/>
    </xf>
    <xf numFmtId="49" fontId="19" fillId="0" borderId="38" xfId="0" applyNumberFormat="1" applyFont="1" applyBorder="1" applyAlignment="1" applyProtection="1">
      <alignment horizontal="left" vertical="top" wrapText="1" readingOrder="1"/>
      <protection hidden="1"/>
    </xf>
    <xf numFmtId="0" fontId="1" fillId="0" borderId="38" xfId="0" applyFont="1" applyBorder="1" applyProtection="1">
      <alignment vertical="top" wrapText="1"/>
      <protection hidden="1"/>
    </xf>
    <xf numFmtId="0" fontId="1" fillId="0" borderId="42" xfId="0" applyFont="1" applyBorder="1" applyProtection="1">
      <alignment vertical="top" wrapText="1"/>
      <protection hidden="1"/>
    </xf>
    <xf numFmtId="1" fontId="145" fillId="12" borderId="38" xfId="0" applyNumberFormat="1" applyFont="1" applyFill="1" applyBorder="1" applyProtection="1">
      <alignment vertical="top" wrapText="1"/>
      <protection hidden="1"/>
    </xf>
    <xf numFmtId="1" fontId="146" fillId="12" borderId="38" xfId="0" applyNumberFormat="1" applyFont="1" applyFill="1" applyBorder="1" applyProtection="1">
      <alignment vertical="top" wrapText="1"/>
      <protection hidden="1"/>
    </xf>
    <xf numFmtId="0" fontId="145" fillId="12" borderId="38" xfId="0" applyNumberFormat="1" applyFont="1" applyFill="1" applyBorder="1" applyProtection="1">
      <alignment vertical="top" wrapText="1"/>
      <protection hidden="1"/>
    </xf>
    <xf numFmtId="0" fontId="21" fillId="0" borderId="6" xfId="0" applyFont="1" applyBorder="1" applyProtection="1">
      <alignment vertical="top" wrapText="1"/>
      <protection hidden="1"/>
    </xf>
    <xf numFmtId="0" fontId="0" fillId="0" borderId="6" xfId="0" applyBorder="1" applyProtection="1">
      <alignment vertical="top" wrapText="1"/>
      <protection hidden="1"/>
    </xf>
    <xf numFmtId="2" fontId="46" fillId="0" borderId="104" xfId="0" applyNumberFormat="1" applyFont="1" applyBorder="1" applyAlignment="1" applyProtection="1">
      <alignment horizontal="left" vertical="top" wrapText="1" readingOrder="1"/>
      <protection hidden="1"/>
    </xf>
    <xf numFmtId="49" fontId="117" fillId="0" borderId="136" xfId="0" applyNumberFormat="1" applyFont="1" applyBorder="1" applyAlignment="1" applyProtection="1">
      <alignment horizontal="left" vertical="top" wrapText="1"/>
      <protection hidden="1"/>
    </xf>
    <xf numFmtId="49" fontId="117" fillId="0" borderId="45" xfId="0" applyNumberFormat="1" applyFont="1" applyBorder="1" applyAlignment="1" applyProtection="1">
      <alignment horizontal="left" vertical="top" wrapText="1"/>
      <protection hidden="1"/>
    </xf>
    <xf numFmtId="0" fontId="0" fillId="0" borderId="104" xfId="0" applyBorder="1" applyProtection="1">
      <alignment vertical="top" wrapText="1"/>
      <protection hidden="1"/>
    </xf>
    <xf numFmtId="0" fontId="0" fillId="0" borderId="105" xfId="0" applyBorder="1" applyProtection="1">
      <alignment vertical="top" wrapText="1"/>
      <protection hidden="1"/>
    </xf>
    <xf numFmtId="0" fontId="11" fillId="0" borderId="104" xfId="0" applyFont="1" applyBorder="1" applyProtection="1">
      <alignment vertical="top" wrapText="1"/>
      <protection hidden="1"/>
    </xf>
    <xf numFmtId="171" fontId="50" fillId="12" borderId="38" xfId="0" applyNumberFormat="1" applyFont="1" applyFill="1" applyBorder="1" applyAlignment="1" applyProtection="1">
      <alignment horizontal="right" vertical="top" wrapText="1" readingOrder="1"/>
      <protection hidden="1"/>
    </xf>
    <xf numFmtId="2" fontId="51" fillId="0" borderId="104" xfId="0" applyNumberFormat="1" applyFont="1" applyBorder="1" applyProtection="1">
      <alignment vertical="top" wrapText="1"/>
      <protection hidden="1"/>
    </xf>
    <xf numFmtId="2" fontId="44" fillId="0" borderId="42" xfId="0" applyNumberFormat="1" applyFont="1" applyBorder="1" applyProtection="1">
      <alignment vertical="top" wrapText="1"/>
      <protection hidden="1"/>
    </xf>
    <xf numFmtId="49" fontId="59" fillId="4" borderId="104" xfId="0" applyNumberFormat="1" applyFont="1" applyFill="1" applyBorder="1" applyAlignment="1" applyProtection="1">
      <alignment horizontal="left" vertical="top" wrapText="1" readingOrder="1"/>
      <protection locked="0" hidden="1"/>
    </xf>
    <xf numFmtId="0" fontId="60" fillId="0" borderId="38" xfId="0" applyFont="1" applyBorder="1" applyProtection="1">
      <alignment vertical="top" wrapText="1"/>
      <protection locked="0" hidden="1"/>
    </xf>
    <xf numFmtId="0" fontId="60" fillId="0" borderId="42" xfId="0" applyFont="1" applyBorder="1" applyProtection="1">
      <alignment vertical="top" wrapText="1"/>
      <protection locked="0" hidden="1"/>
    </xf>
    <xf numFmtId="2" fontId="53" fillId="0" borderId="38" xfId="0" applyNumberFormat="1" applyFont="1" applyBorder="1" applyProtection="1">
      <alignment vertical="top" wrapText="1"/>
      <protection hidden="1"/>
    </xf>
    <xf numFmtId="165" fontId="63" fillId="0" borderId="51" xfId="0" applyNumberFormat="1" applyFont="1" applyBorder="1" applyProtection="1">
      <alignment vertical="top" wrapText="1"/>
      <protection hidden="1"/>
    </xf>
    <xf numFmtId="0" fontId="57" fillId="0" borderId="51" xfId="0" applyFont="1" applyBorder="1" applyProtection="1">
      <alignment vertical="top" wrapText="1"/>
      <protection hidden="1"/>
    </xf>
    <xf numFmtId="0" fontId="57" fillId="0" borderId="50" xfId="0" applyFont="1" applyBorder="1" applyProtection="1">
      <alignment vertical="top" wrapText="1"/>
      <protection hidden="1"/>
    </xf>
    <xf numFmtId="171" fontId="50" fillId="0" borderId="38" xfId="0" applyNumberFormat="1" applyFont="1" applyBorder="1" applyAlignment="1" applyProtection="1">
      <alignment horizontal="right" vertical="top" wrapText="1"/>
      <protection hidden="1"/>
    </xf>
    <xf numFmtId="171" fontId="44" fillId="0" borderId="38" xfId="0" applyNumberFormat="1" applyFont="1" applyBorder="1" applyProtection="1">
      <alignment vertical="top" wrapText="1"/>
      <protection hidden="1"/>
    </xf>
    <xf numFmtId="165" fontId="23" fillId="12" borderId="153" xfId="0" applyNumberFormat="1" applyFont="1" applyFill="1" applyBorder="1" applyAlignment="1" applyProtection="1">
      <alignment horizontal="left" vertical="top" wrapText="1" readingOrder="1"/>
      <protection hidden="1"/>
    </xf>
    <xf numFmtId="0" fontId="0" fillId="12" borderId="121" xfId="0" applyFill="1" applyBorder="1" applyProtection="1">
      <alignment vertical="top" wrapText="1"/>
      <protection hidden="1"/>
    </xf>
    <xf numFmtId="0" fontId="0" fillId="12" borderId="161" xfId="0" applyFill="1" applyBorder="1" applyProtection="1">
      <alignment vertical="top" wrapText="1"/>
      <protection hidden="1"/>
    </xf>
    <xf numFmtId="0" fontId="21" fillId="0" borderId="39" xfId="0" applyFont="1" applyBorder="1" applyProtection="1">
      <alignment vertical="top" wrapText="1"/>
      <protection hidden="1"/>
    </xf>
    <xf numFmtId="0" fontId="0" fillId="0" borderId="39" xfId="0" applyBorder="1" applyProtection="1">
      <alignment vertical="top" wrapText="1"/>
      <protection hidden="1"/>
    </xf>
    <xf numFmtId="0" fontId="1" fillId="0" borderId="136" xfId="0" applyFont="1" applyBorder="1" applyAlignment="1" applyProtection="1">
      <alignment horizontal="left" vertical="top" wrapText="1"/>
      <protection hidden="1"/>
    </xf>
    <xf numFmtId="0" fontId="1" fillId="0" borderId="45" xfId="0" applyFont="1" applyBorder="1" applyAlignment="1" applyProtection="1">
      <alignment horizontal="left" vertical="top" wrapText="1"/>
      <protection hidden="1"/>
    </xf>
    <xf numFmtId="0" fontId="1" fillId="0" borderId="141" xfId="0" applyFont="1" applyBorder="1" applyAlignment="1" applyProtection="1">
      <alignment horizontal="left" vertical="top" wrapText="1"/>
      <protection hidden="1"/>
    </xf>
    <xf numFmtId="0" fontId="1" fillId="0" borderId="101" xfId="0" applyNumberFormat="1" applyFont="1" applyBorder="1" applyAlignment="1" applyProtection="1">
      <alignment horizontal="right" vertical="top" wrapText="1"/>
      <protection hidden="1"/>
    </xf>
    <xf numFmtId="0" fontId="1" fillId="0" borderId="102" xfId="0" applyNumberFormat="1" applyFont="1" applyBorder="1" applyAlignment="1" applyProtection="1">
      <alignment horizontal="right" vertical="top" wrapText="1"/>
      <protection hidden="1"/>
    </xf>
    <xf numFmtId="0" fontId="1" fillId="0" borderId="113" xfId="0" applyNumberFormat="1" applyFont="1" applyBorder="1" applyAlignment="1" applyProtection="1">
      <alignment horizontal="right" vertical="top" wrapText="1"/>
      <protection hidden="1"/>
    </xf>
    <xf numFmtId="0" fontId="1" fillId="0" borderId="43" xfId="0" applyNumberFormat="1" applyFont="1" applyBorder="1" applyAlignment="1" applyProtection="1">
      <alignment horizontal="right" vertical="top" wrapText="1"/>
      <protection hidden="1"/>
    </xf>
    <xf numFmtId="0" fontId="1" fillId="0" borderId="41" xfId="0" applyNumberFormat="1" applyFont="1" applyBorder="1" applyAlignment="1" applyProtection="1">
      <alignment horizontal="right" vertical="top" wrapText="1"/>
      <protection hidden="1"/>
    </xf>
    <xf numFmtId="0" fontId="1" fillId="0" borderId="38" xfId="0" applyNumberFormat="1" applyFont="1" applyBorder="1" applyAlignment="1" applyProtection="1">
      <alignment horizontal="right" vertical="top" wrapText="1"/>
      <protection hidden="1"/>
    </xf>
    <xf numFmtId="49" fontId="45" fillId="0" borderId="40" xfId="0" applyNumberFormat="1" applyFont="1" applyBorder="1" applyProtection="1">
      <alignment vertical="top" wrapText="1"/>
      <protection hidden="1"/>
    </xf>
    <xf numFmtId="0" fontId="44" fillId="0" borderId="40" xfId="0" applyFont="1" applyBorder="1" applyProtection="1">
      <alignment vertical="top" wrapText="1"/>
      <protection hidden="1"/>
    </xf>
    <xf numFmtId="0" fontId="50" fillId="0" borderId="38" xfId="0" applyNumberFormat="1" applyFont="1" applyBorder="1" applyAlignment="1" applyProtection="1">
      <alignment horizontal="center" vertical="top" wrapText="1"/>
      <protection hidden="1"/>
    </xf>
    <xf numFmtId="0" fontId="19" fillId="12" borderId="153" xfId="0" applyFont="1" applyFill="1" applyBorder="1" applyProtection="1">
      <alignment vertical="top" wrapText="1"/>
      <protection hidden="1"/>
    </xf>
    <xf numFmtId="0" fontId="44" fillId="0" borderId="48" xfId="0" applyFont="1" applyBorder="1" applyProtection="1">
      <alignment vertical="top" wrapText="1"/>
      <protection hidden="1"/>
    </xf>
    <xf numFmtId="49" fontId="62" fillId="12" borderId="153" xfId="0" applyNumberFormat="1" applyFont="1" applyFill="1" applyBorder="1" applyAlignment="1" applyProtection="1">
      <alignment horizontal="left" vertical="top" wrapText="1" readingOrder="1"/>
      <protection hidden="1"/>
    </xf>
    <xf numFmtId="0" fontId="30" fillId="12" borderId="161" xfId="0" applyFont="1" applyFill="1" applyBorder="1" applyProtection="1">
      <alignment vertical="top" wrapText="1"/>
      <protection hidden="1"/>
    </xf>
    <xf numFmtId="0" fontId="22" fillId="0" borderId="128" xfId="0" applyFont="1" applyBorder="1" applyProtection="1">
      <alignment vertical="top" wrapText="1"/>
      <protection hidden="1"/>
    </xf>
    <xf numFmtId="2" fontId="46" fillId="0" borderId="106" xfId="0" applyNumberFormat="1" applyFont="1" applyBorder="1" applyAlignment="1" applyProtection="1">
      <alignment horizontal="center" vertical="top" wrapText="1"/>
      <protection hidden="1"/>
    </xf>
    <xf numFmtId="2" fontId="51" fillId="0" borderId="107" xfId="0" applyNumberFormat="1" applyFont="1" applyBorder="1" applyProtection="1">
      <alignment vertical="top" wrapText="1"/>
      <protection hidden="1"/>
    </xf>
    <xf numFmtId="2" fontId="51" fillId="0" borderId="108" xfId="0" applyNumberFormat="1" applyFont="1" applyBorder="1" applyAlignment="1" applyProtection="1">
      <alignment horizontal="center" vertical="top" wrapText="1"/>
      <protection hidden="1"/>
    </xf>
    <xf numFmtId="49" fontId="22" fillId="0" borderId="137" xfId="0" applyNumberFormat="1" applyFont="1" applyBorder="1" applyAlignment="1" applyProtection="1">
      <alignment horizontal="left" vertical="top" wrapText="1" readingOrder="1"/>
      <protection hidden="1"/>
    </xf>
    <xf numFmtId="0" fontId="1" fillId="0" borderId="39" xfId="0" applyFont="1" applyBorder="1" applyProtection="1">
      <alignment vertical="top" wrapText="1"/>
      <protection hidden="1"/>
    </xf>
    <xf numFmtId="0" fontId="1" fillId="0" borderId="138" xfId="0" applyFont="1" applyBorder="1" applyProtection="1">
      <alignment vertical="top" wrapText="1"/>
      <protection hidden="1"/>
    </xf>
    <xf numFmtId="2" fontId="22" fillId="0" borderId="128" xfId="0" applyNumberFormat="1" applyFont="1" applyBorder="1" applyAlignment="1" applyProtection="1">
      <alignment horizontal="left" vertical="top" wrapText="1" readingOrder="1"/>
      <protection hidden="1"/>
    </xf>
    <xf numFmtId="2" fontId="22" fillId="0" borderId="6" xfId="0" applyNumberFormat="1" applyFont="1" applyBorder="1" applyAlignment="1" applyProtection="1">
      <alignment horizontal="left" vertical="top" wrapText="1" readingOrder="1"/>
      <protection hidden="1"/>
    </xf>
    <xf numFmtId="2" fontId="22" fillId="0" borderId="122" xfId="0" applyNumberFormat="1" applyFont="1" applyBorder="1" applyAlignment="1" applyProtection="1">
      <alignment horizontal="left" vertical="top" wrapText="1" readingOrder="1"/>
      <protection hidden="1"/>
    </xf>
    <xf numFmtId="0" fontId="108" fillId="0" borderId="104" xfId="0" applyFont="1" applyBorder="1" applyAlignment="1" applyProtection="1">
      <alignment horizontal="center" vertical="top" wrapText="1"/>
      <protection hidden="1"/>
    </xf>
    <xf numFmtId="0" fontId="109" fillId="0" borderId="38" xfId="0" applyFont="1" applyBorder="1" applyAlignment="1" applyProtection="1">
      <alignment horizontal="center" vertical="top" wrapText="1"/>
      <protection hidden="1"/>
    </xf>
    <xf numFmtId="0" fontId="108" fillId="0" borderId="38" xfId="0" applyFont="1" applyBorder="1" applyAlignment="1" applyProtection="1">
      <alignment horizontal="center" vertical="top" wrapText="1"/>
      <protection hidden="1"/>
    </xf>
    <xf numFmtId="0" fontId="108" fillId="0" borderId="105" xfId="0" applyFont="1" applyBorder="1" applyAlignment="1" applyProtection="1">
      <alignment horizontal="center" vertical="top" wrapText="1"/>
      <protection hidden="1"/>
    </xf>
    <xf numFmtId="0" fontId="1" fillId="0" borderId="104" xfId="0" applyNumberFormat="1" applyFont="1" applyBorder="1" applyAlignment="1" applyProtection="1">
      <alignment horizontal="right" vertical="top" wrapText="1"/>
      <protection hidden="1"/>
    </xf>
    <xf numFmtId="0" fontId="1" fillId="0" borderId="102" xfId="0" applyNumberFormat="1" applyFont="1" applyBorder="1" applyProtection="1">
      <alignment vertical="top" wrapText="1"/>
      <protection hidden="1"/>
    </xf>
    <xf numFmtId="0" fontId="1" fillId="0" borderId="38" xfId="0" applyNumberFormat="1" applyFont="1" applyBorder="1" applyProtection="1">
      <alignment vertical="top" wrapText="1"/>
      <protection hidden="1"/>
    </xf>
    <xf numFmtId="0" fontId="1" fillId="0" borderId="107" xfId="0" applyNumberFormat="1" applyFont="1" applyBorder="1" applyProtection="1">
      <alignment vertical="top" wrapText="1"/>
      <protection hidden="1"/>
    </xf>
    <xf numFmtId="49" fontId="18" fillId="0" borderId="38" xfId="0" applyNumberFormat="1" applyFont="1" applyBorder="1" applyAlignment="1" applyProtection="1">
      <alignment horizontal="center" vertical="top" wrapText="1" readingOrder="1"/>
      <protection hidden="1"/>
    </xf>
    <xf numFmtId="49" fontId="21" fillId="4" borderId="38" xfId="0" applyNumberFormat="1" applyFont="1" applyFill="1" applyBorder="1" applyAlignment="1" applyProtection="1">
      <alignment horizontal="center" vertical="top" wrapText="1"/>
      <protection hidden="1"/>
    </xf>
    <xf numFmtId="0" fontId="145" fillId="12" borderId="38" xfId="0" applyNumberFormat="1" applyFont="1" applyFill="1" applyBorder="1" applyAlignment="1" applyProtection="1">
      <alignment horizontal="center" vertical="top" wrapText="1"/>
      <protection hidden="1"/>
    </xf>
    <xf numFmtId="0" fontId="7" fillId="0" borderId="117" xfId="0" applyNumberFormat="1" applyFont="1" applyBorder="1" applyAlignment="1" applyProtection="1">
      <alignment horizontal="left" vertical="top" wrapText="1"/>
      <protection hidden="1"/>
    </xf>
    <xf numFmtId="0" fontId="7" fillId="0" borderId="118" xfId="0" applyNumberFormat="1" applyFont="1" applyBorder="1" applyAlignment="1" applyProtection="1">
      <alignment horizontal="left" vertical="top" wrapText="1"/>
      <protection hidden="1"/>
    </xf>
    <xf numFmtId="0" fontId="7" fillId="0" borderId="119" xfId="0" applyNumberFormat="1" applyFont="1" applyBorder="1" applyAlignment="1" applyProtection="1">
      <alignment horizontal="left" vertical="top" wrapText="1"/>
      <protection hidden="1"/>
    </xf>
    <xf numFmtId="0" fontId="128" fillId="0" borderId="124" xfId="0" applyNumberFormat="1" applyFont="1" applyBorder="1" applyAlignment="1" applyProtection="1">
      <alignment horizontal="center" vertical="top" wrapText="1"/>
      <protection hidden="1"/>
    </xf>
    <xf numFmtId="172" fontId="112" fillId="0" borderId="6" xfId="0" applyNumberFormat="1" applyFont="1" applyBorder="1" applyAlignment="1" applyProtection="1">
      <alignment horizontal="center" vertical="top" wrapText="1"/>
      <protection hidden="1"/>
    </xf>
    <xf numFmtId="172" fontId="112" fillId="0" borderId="122" xfId="0" applyNumberFormat="1" applyFont="1" applyBorder="1" applyAlignment="1" applyProtection="1">
      <alignment horizontal="center" vertical="top" wrapText="1"/>
      <protection hidden="1"/>
    </xf>
    <xf numFmtId="0" fontId="1" fillId="0" borderId="106" xfId="0" applyNumberFormat="1" applyFont="1" applyBorder="1" applyAlignment="1" applyProtection="1">
      <alignment horizontal="right" vertical="top" wrapText="1"/>
      <protection hidden="1"/>
    </xf>
    <xf numFmtId="0" fontId="1" fillId="0" borderId="107" xfId="0" applyNumberFormat="1" applyFont="1" applyBorder="1" applyAlignment="1" applyProtection="1">
      <alignment horizontal="right" vertical="top" wrapText="1"/>
      <protection hidden="1"/>
    </xf>
    <xf numFmtId="0" fontId="126" fillId="0" borderId="6" xfId="0" applyNumberFormat="1" applyFont="1" applyBorder="1" applyAlignment="1" applyProtection="1">
      <alignment horizontal="right" vertical="top" wrapText="1"/>
      <protection hidden="1"/>
    </xf>
    <xf numFmtId="0" fontId="1" fillId="0" borderId="117" xfId="0" applyNumberFormat="1" applyFont="1" applyBorder="1" applyAlignment="1" applyProtection="1">
      <alignment horizontal="right" vertical="top" wrapText="1"/>
      <protection hidden="1"/>
    </xf>
    <xf numFmtId="0" fontId="1" fillId="0" borderId="118" xfId="0" applyNumberFormat="1" applyFont="1" applyBorder="1" applyAlignment="1" applyProtection="1">
      <alignment horizontal="right" vertical="top" wrapText="1"/>
      <protection hidden="1"/>
    </xf>
    <xf numFmtId="0" fontId="1" fillId="0" borderId="153" xfId="0" applyNumberFormat="1" applyFont="1" applyBorder="1" applyAlignment="1" applyProtection="1">
      <alignment horizontal="right" vertical="top" wrapText="1"/>
      <protection hidden="1"/>
    </xf>
    <xf numFmtId="0" fontId="1" fillId="0" borderId="161" xfId="0" applyNumberFormat="1" applyFont="1" applyBorder="1" applyAlignment="1" applyProtection="1">
      <alignment horizontal="right" vertical="top" wrapText="1"/>
      <protection hidden="1"/>
    </xf>
    <xf numFmtId="0" fontId="1" fillId="0" borderId="161" xfId="0" applyNumberFormat="1" applyFont="1" applyBorder="1" applyProtection="1">
      <alignment vertical="top" wrapText="1"/>
      <protection hidden="1"/>
    </xf>
    <xf numFmtId="0" fontId="1" fillId="0" borderId="118" xfId="0" applyNumberFormat="1" applyFont="1" applyBorder="1" applyProtection="1">
      <alignment vertical="top" wrapText="1"/>
      <protection hidden="1"/>
    </xf>
    <xf numFmtId="0" fontId="1" fillId="0" borderId="153" xfId="0" applyNumberFormat="1" applyFont="1" applyBorder="1" applyProtection="1">
      <alignment vertical="top" wrapText="1"/>
      <protection hidden="1"/>
    </xf>
    <xf numFmtId="0" fontId="1" fillId="0" borderId="111" xfId="0" applyNumberFormat="1" applyFont="1" applyBorder="1" applyAlignment="1" applyProtection="1">
      <alignment horizontal="right" vertical="top" wrapText="1"/>
      <protection hidden="1"/>
    </xf>
    <xf numFmtId="0" fontId="1" fillId="0" borderId="109" xfId="0" applyNumberFormat="1" applyFont="1" applyBorder="1" applyAlignment="1" applyProtection="1">
      <alignment horizontal="right" vertical="top" wrapText="1"/>
      <protection hidden="1"/>
    </xf>
    <xf numFmtId="0" fontId="1" fillId="0" borderId="110" xfId="0" applyNumberFormat="1" applyFont="1" applyBorder="1" applyAlignment="1" applyProtection="1">
      <alignment horizontal="right" vertical="top" wrapText="1"/>
      <protection hidden="1"/>
    </xf>
    <xf numFmtId="0" fontId="1" fillId="0" borderId="111" xfId="0" applyNumberFormat="1" applyFont="1" applyBorder="1" applyProtection="1">
      <alignment vertical="top" wrapText="1"/>
      <protection hidden="1"/>
    </xf>
    <xf numFmtId="0" fontId="1" fillId="0" borderId="109" xfId="0" applyNumberFormat="1" applyFont="1" applyBorder="1" applyProtection="1">
      <alignment vertical="top" wrapText="1"/>
      <protection hidden="1"/>
    </xf>
    <xf numFmtId="0" fontId="1" fillId="0" borderId="110" xfId="0" applyNumberFormat="1" applyFont="1" applyBorder="1" applyProtection="1">
      <alignment vertical="top" wrapText="1"/>
      <protection hidden="1"/>
    </xf>
    <xf numFmtId="49" fontId="22" fillId="0" borderId="155" xfId="0" applyNumberFormat="1" applyFont="1" applyBorder="1" applyAlignment="1" applyProtection="1">
      <alignment horizontal="left" vertical="top" wrapText="1" readingOrder="1"/>
      <protection hidden="1"/>
    </xf>
    <xf numFmtId="49" fontId="22" fillId="0" borderId="44" xfId="0" applyNumberFormat="1" applyFont="1" applyBorder="1" applyAlignment="1" applyProtection="1">
      <alignment horizontal="left" vertical="top" wrapText="1" readingOrder="1"/>
      <protection hidden="1"/>
    </xf>
    <xf numFmtId="49" fontId="22" fillId="0" borderId="143" xfId="0" applyNumberFormat="1" applyFont="1" applyBorder="1" applyAlignment="1" applyProtection="1">
      <alignment horizontal="left" vertical="top" wrapText="1" readingOrder="1"/>
      <protection hidden="1"/>
    </xf>
    <xf numFmtId="2" fontId="46" fillId="0" borderId="154" xfId="0" applyNumberFormat="1" applyFont="1" applyBorder="1" applyAlignment="1" applyProtection="1">
      <alignment horizontal="center" vertical="top" wrapText="1"/>
      <protection hidden="1"/>
    </xf>
    <xf numFmtId="2" fontId="46" fillId="0" borderId="114" xfId="0" applyNumberFormat="1" applyFont="1" applyBorder="1" applyAlignment="1" applyProtection="1">
      <alignment horizontal="center" vertical="top" wrapText="1"/>
      <protection hidden="1"/>
    </xf>
    <xf numFmtId="2" fontId="46" fillId="0" borderId="139" xfId="0" applyNumberFormat="1" applyFont="1" applyBorder="1" applyAlignment="1" applyProtection="1">
      <alignment horizontal="center" vertical="top" wrapText="1"/>
      <protection hidden="1"/>
    </xf>
    <xf numFmtId="0" fontId="128" fillId="0" borderId="6" xfId="0" applyNumberFormat="1" applyFont="1" applyBorder="1" applyAlignment="1" applyProtection="1">
      <alignment horizontal="center" vertical="top" wrapText="1"/>
      <protection hidden="1"/>
    </xf>
    <xf numFmtId="0" fontId="1" fillId="0" borderId="112" xfId="0" applyNumberFormat="1" applyFont="1" applyBorder="1" applyProtection="1">
      <alignment vertical="top" wrapText="1"/>
      <protection hidden="1"/>
    </xf>
    <xf numFmtId="0" fontId="1" fillId="0" borderId="51" xfId="0" applyNumberFormat="1" applyFont="1" applyBorder="1" applyProtection="1">
      <alignment vertical="top" wrapText="1"/>
      <protection hidden="1"/>
    </xf>
    <xf numFmtId="0" fontId="1" fillId="0" borderId="116" xfId="0" applyNumberFormat="1" applyFont="1" applyBorder="1" applyProtection="1">
      <alignment vertical="top" wrapText="1"/>
      <protection hidden="1"/>
    </xf>
    <xf numFmtId="0" fontId="50" fillId="0" borderId="128" xfId="0" applyFont="1" applyBorder="1" applyAlignment="1" applyProtection="1">
      <alignment horizontal="left" vertical="top" wrapText="1" readingOrder="1"/>
      <protection hidden="1"/>
    </xf>
    <xf numFmtId="0" fontId="50" fillId="0" borderId="6" xfId="0" applyFont="1" applyBorder="1" applyAlignment="1" applyProtection="1">
      <alignment horizontal="left" vertical="top" wrapText="1" readingOrder="1"/>
      <protection hidden="1"/>
    </xf>
    <xf numFmtId="0" fontId="58" fillId="0" borderId="6" xfId="0" applyFont="1" applyBorder="1" applyProtection="1">
      <alignment vertical="top" wrapText="1"/>
      <protection hidden="1"/>
    </xf>
    <xf numFmtId="0" fontId="57" fillId="0" borderId="6" xfId="0" applyFont="1" applyBorder="1" applyProtection="1">
      <alignment vertical="top" wrapText="1"/>
      <protection hidden="1"/>
    </xf>
    <xf numFmtId="168" fontId="58" fillId="13" borderId="6" xfId="0" applyNumberFormat="1" applyFont="1" applyFill="1" applyBorder="1" applyProtection="1">
      <alignment vertical="top" wrapText="1"/>
      <protection hidden="1"/>
    </xf>
    <xf numFmtId="0" fontId="57" fillId="13" borderId="6" xfId="0" applyFont="1" applyFill="1" applyBorder="1" applyProtection="1">
      <alignment vertical="top" wrapText="1"/>
      <protection hidden="1"/>
    </xf>
    <xf numFmtId="0" fontId="48" fillId="0" borderId="136" xfId="0" applyFont="1" applyBorder="1" applyAlignment="1" applyProtection="1">
      <alignment horizontal="left" vertical="top" wrapText="1" readingOrder="1"/>
      <protection hidden="1"/>
    </xf>
    <xf numFmtId="0" fontId="48" fillId="0" borderId="45" xfId="0" applyFont="1" applyBorder="1" applyAlignment="1" applyProtection="1">
      <alignment horizontal="left" vertical="top" wrapText="1" readingOrder="1"/>
      <protection hidden="1"/>
    </xf>
    <xf numFmtId="0" fontId="132" fillId="0" borderId="47" xfId="0" applyFont="1" applyBorder="1" applyProtection="1">
      <alignment vertical="top" wrapText="1"/>
      <protection hidden="1"/>
    </xf>
    <xf numFmtId="0" fontId="57" fillId="0" borderId="48" xfId="0" applyFont="1" applyBorder="1" applyProtection="1">
      <alignment vertical="top" wrapText="1"/>
      <protection hidden="1"/>
    </xf>
    <xf numFmtId="49" fontId="132" fillId="13" borderId="47" xfId="0" applyNumberFormat="1" applyFont="1" applyFill="1" applyBorder="1" applyProtection="1">
      <alignment vertical="top" wrapText="1"/>
      <protection hidden="1"/>
    </xf>
    <xf numFmtId="0" fontId="57" fillId="13" borderId="40" xfId="0" applyFont="1" applyFill="1" applyBorder="1" applyProtection="1">
      <alignment vertical="top" wrapText="1"/>
      <protection hidden="1"/>
    </xf>
    <xf numFmtId="0" fontId="133" fillId="13" borderId="40" xfId="0" applyFont="1" applyFill="1" applyBorder="1" applyProtection="1">
      <alignment vertical="top" wrapText="1"/>
      <protection hidden="1"/>
    </xf>
    <xf numFmtId="0" fontId="133" fillId="13" borderId="48" xfId="0" applyFont="1" applyFill="1" applyBorder="1" applyProtection="1">
      <alignment vertical="top" wrapText="1"/>
      <protection hidden="1"/>
    </xf>
    <xf numFmtId="0" fontId="50" fillId="12" borderId="128" xfId="0" applyFont="1" applyFill="1" applyBorder="1" applyAlignment="1" applyProtection="1">
      <alignment horizontal="left" vertical="top" wrapText="1" readingOrder="1"/>
      <protection hidden="1"/>
    </xf>
    <xf numFmtId="0" fontId="50" fillId="12" borderId="6" xfId="0" applyFont="1" applyFill="1" applyBorder="1" applyAlignment="1" applyProtection="1">
      <alignment horizontal="left" vertical="top" wrapText="1" readingOrder="1"/>
      <protection hidden="1"/>
    </xf>
    <xf numFmtId="49" fontId="46" fillId="13" borderId="128" xfId="0" applyNumberFormat="1" applyFont="1" applyFill="1" applyBorder="1" applyAlignment="1" applyProtection="1">
      <alignment horizontal="left" vertical="top" wrapText="1" readingOrder="1"/>
      <protection hidden="1"/>
    </xf>
    <xf numFmtId="49" fontId="46" fillId="13" borderId="6" xfId="0" applyNumberFormat="1" applyFont="1" applyFill="1" applyBorder="1" applyAlignment="1" applyProtection="1">
      <alignment horizontal="left" vertical="top" wrapText="1" readingOrder="1"/>
      <protection hidden="1"/>
    </xf>
    <xf numFmtId="0" fontId="44" fillId="13" borderId="6" xfId="0" applyFont="1" applyFill="1" applyBorder="1" applyProtection="1">
      <alignment vertical="top" wrapText="1"/>
      <protection hidden="1"/>
    </xf>
    <xf numFmtId="0" fontId="54" fillId="13" borderId="6" xfId="0" applyFont="1" applyFill="1" applyBorder="1" applyProtection="1">
      <alignment vertical="top" wrapText="1"/>
      <protection hidden="1"/>
    </xf>
    <xf numFmtId="0" fontId="54" fillId="13" borderId="6" xfId="0" applyNumberFormat="1" applyFont="1" applyFill="1" applyBorder="1" applyProtection="1">
      <alignment vertical="top" wrapText="1"/>
      <protection hidden="1"/>
    </xf>
    <xf numFmtId="49" fontId="54" fillId="13" borderId="6" xfId="0" applyNumberFormat="1" applyFont="1" applyFill="1" applyBorder="1" applyProtection="1">
      <alignment vertical="top" wrapText="1"/>
      <protection hidden="1"/>
    </xf>
    <xf numFmtId="0" fontId="57" fillId="0" borderId="52" xfId="0" applyFont="1" applyBorder="1" applyProtection="1">
      <alignment vertical="top" wrapText="1"/>
      <protection hidden="1"/>
    </xf>
    <xf numFmtId="0" fontId="57" fillId="0" borderId="145" xfId="0" applyFont="1" applyBorder="1" applyProtection="1">
      <alignment vertical="top" wrapText="1"/>
      <protection hidden="1"/>
    </xf>
    <xf numFmtId="0" fontId="46" fillId="12" borderId="41" xfId="0" applyNumberFormat="1" applyFont="1" applyFill="1" applyBorder="1" applyProtection="1">
      <alignment vertical="top" wrapText="1"/>
      <protection hidden="1"/>
    </xf>
    <xf numFmtId="0" fontId="44" fillId="12" borderId="42" xfId="0" applyNumberFormat="1" applyFont="1" applyFill="1" applyBorder="1" applyProtection="1">
      <alignment vertical="top" wrapText="1"/>
      <protection hidden="1"/>
    </xf>
    <xf numFmtId="171" fontId="54" fillId="0" borderId="6" xfId="0" applyNumberFormat="1" applyFont="1" applyBorder="1" applyAlignment="1" applyProtection="1">
      <alignment horizontal="left" vertical="top" wrapText="1"/>
      <protection hidden="1"/>
    </xf>
    <xf numFmtId="0" fontId="46" fillId="13" borderId="128" xfId="0" applyFont="1" applyFill="1" applyBorder="1" applyAlignment="1" applyProtection="1">
      <alignment vertical="top" wrapText="1" readingOrder="1"/>
      <protection hidden="1"/>
    </xf>
    <xf numFmtId="0" fontId="46" fillId="13" borderId="6" xfId="0" applyFont="1" applyFill="1" applyBorder="1" applyAlignment="1" applyProtection="1">
      <alignment vertical="top" wrapText="1" readingOrder="1"/>
      <protection hidden="1"/>
    </xf>
    <xf numFmtId="0" fontId="50" fillId="13" borderId="6" xfId="0" applyNumberFormat="1" applyFont="1" applyFill="1" applyBorder="1" applyProtection="1">
      <alignment vertical="top" wrapText="1"/>
      <protection hidden="1"/>
    </xf>
    <xf numFmtId="49" fontId="50" fillId="13" borderId="6" xfId="0" applyNumberFormat="1" applyFont="1" applyFill="1" applyBorder="1" applyProtection="1">
      <alignment vertical="top" wrapText="1"/>
      <protection hidden="1"/>
    </xf>
    <xf numFmtId="0" fontId="48" fillId="0" borderId="128" xfId="0" applyFont="1" applyBorder="1" applyAlignment="1" applyProtection="1">
      <alignment horizontal="left" vertical="top" wrapText="1" readingOrder="1"/>
      <protection hidden="1"/>
    </xf>
    <xf numFmtId="0" fontId="48" fillId="0" borderId="6" xfId="0" applyFont="1" applyBorder="1" applyAlignment="1" applyProtection="1">
      <alignment horizontal="left" vertical="top" wrapText="1" readingOrder="1"/>
      <protection hidden="1"/>
    </xf>
    <xf numFmtId="49" fontId="50" fillId="12" borderId="104" xfId="0" applyNumberFormat="1" applyFont="1" applyFill="1" applyBorder="1" applyAlignment="1" applyProtection="1">
      <alignment horizontal="left" vertical="top" wrapText="1" readingOrder="1"/>
      <protection hidden="1"/>
    </xf>
    <xf numFmtId="49" fontId="50" fillId="12" borderId="38" xfId="0" applyNumberFormat="1" applyFont="1" applyFill="1" applyBorder="1" applyAlignment="1" applyProtection="1">
      <alignment horizontal="left" vertical="top" wrapText="1" readingOrder="1"/>
      <protection hidden="1"/>
    </xf>
    <xf numFmtId="49" fontId="50" fillId="12" borderId="42" xfId="0" applyNumberFormat="1" applyFont="1" applyFill="1" applyBorder="1" applyAlignment="1" applyProtection="1">
      <alignment horizontal="left" vertical="top" wrapText="1" readingOrder="1"/>
      <protection hidden="1"/>
    </xf>
    <xf numFmtId="49" fontId="50" fillId="12" borderId="113" xfId="0" applyNumberFormat="1" applyFont="1" applyFill="1" applyBorder="1" applyAlignment="1" applyProtection="1">
      <alignment horizontal="left" vertical="top" wrapText="1" readingOrder="1"/>
      <protection hidden="1"/>
    </xf>
    <xf numFmtId="49" fontId="50" fillId="12" borderId="43" xfId="0" applyNumberFormat="1" applyFont="1" applyFill="1" applyBorder="1" applyAlignment="1" applyProtection="1">
      <alignment horizontal="left" vertical="top" wrapText="1" readingOrder="1"/>
      <protection hidden="1"/>
    </xf>
    <xf numFmtId="0" fontId="44" fillId="12" borderId="42" xfId="0" applyFont="1" applyFill="1" applyBorder="1" applyProtection="1">
      <alignment vertical="top" wrapText="1"/>
      <protection hidden="1"/>
    </xf>
    <xf numFmtId="0" fontId="54" fillId="0" borderId="50" xfId="0" applyFont="1" applyBorder="1" applyAlignment="1" applyProtection="1">
      <alignment horizontal="left" vertical="top" wrapText="1"/>
      <protection hidden="1"/>
    </xf>
    <xf numFmtId="0" fontId="54" fillId="0" borderId="6" xfId="0" applyFont="1" applyBorder="1" applyAlignment="1" applyProtection="1">
      <alignment horizontal="left" vertical="top" wrapText="1"/>
      <protection hidden="1"/>
    </xf>
    <xf numFmtId="0" fontId="45" fillId="0" borderId="52" xfId="0" applyFont="1" applyBorder="1" applyProtection="1">
      <alignment vertical="top" wrapText="1"/>
      <protection hidden="1"/>
    </xf>
    <xf numFmtId="0" fontId="44" fillId="0" borderId="50" xfId="0" applyFont="1" applyBorder="1" applyProtection="1">
      <alignment vertical="top" wrapText="1"/>
      <protection hidden="1"/>
    </xf>
    <xf numFmtId="0" fontId="50" fillId="12" borderId="155" xfId="0" applyFont="1" applyFill="1" applyBorder="1" applyAlignment="1" applyProtection="1">
      <alignment horizontal="left" vertical="top" wrapText="1" readingOrder="1"/>
      <protection hidden="1"/>
    </xf>
    <xf numFmtId="0" fontId="50" fillId="12" borderId="44" xfId="0" applyFont="1" applyFill="1" applyBorder="1" applyAlignment="1" applyProtection="1">
      <alignment horizontal="left" vertical="top" wrapText="1" readingOrder="1"/>
      <protection hidden="1"/>
    </xf>
    <xf numFmtId="0" fontId="50" fillId="12" borderId="46" xfId="0" applyFont="1" applyFill="1" applyBorder="1" applyAlignment="1" applyProtection="1">
      <alignment horizontal="left" vertical="top" wrapText="1" readingOrder="1"/>
      <protection hidden="1"/>
    </xf>
    <xf numFmtId="0" fontId="50" fillId="0" borderId="52" xfId="0" applyFont="1" applyBorder="1" applyProtection="1">
      <alignment vertical="top" wrapText="1"/>
      <protection hidden="1"/>
    </xf>
    <xf numFmtId="2" fontId="101" fillId="0" borderId="45" xfId="0" applyNumberFormat="1" applyFont="1" applyBorder="1" applyProtection="1">
      <alignment vertical="top" wrapText="1"/>
      <protection hidden="1"/>
    </xf>
    <xf numFmtId="2" fontId="117" fillId="0" borderId="104" xfId="0" applyNumberFormat="1" applyFont="1" applyBorder="1" applyAlignment="1" applyProtection="1">
      <alignment horizontal="right" vertical="top" wrapText="1"/>
      <protection hidden="1"/>
    </xf>
    <xf numFmtId="2" fontId="118" fillId="0" borderId="42" xfId="0" applyNumberFormat="1" applyFont="1" applyBorder="1" applyProtection="1">
      <alignment vertical="top" wrapText="1"/>
      <protection hidden="1"/>
    </xf>
    <xf numFmtId="49" fontId="119" fillId="0" borderId="41" xfId="0" applyNumberFormat="1" applyFont="1" applyBorder="1" applyProtection="1">
      <alignment vertical="top" wrapText="1"/>
      <protection hidden="1"/>
    </xf>
    <xf numFmtId="0" fontId="118" fillId="0" borderId="38" xfId="0" applyFont="1" applyBorder="1" applyProtection="1">
      <alignment vertical="top" wrapText="1"/>
      <protection hidden="1"/>
    </xf>
    <xf numFmtId="0" fontId="118" fillId="0" borderId="42" xfId="0" applyFont="1" applyBorder="1" applyProtection="1">
      <alignment vertical="top" wrapText="1"/>
      <protection hidden="1"/>
    </xf>
    <xf numFmtId="0" fontId="55" fillId="0" borderId="46" xfId="0" applyFont="1" applyBorder="1" applyProtection="1">
      <alignment vertical="top" wrapText="1"/>
      <protection hidden="1"/>
    </xf>
    <xf numFmtId="0" fontId="57" fillId="0" borderId="39" xfId="0" applyFont="1" applyBorder="1" applyProtection="1">
      <alignment vertical="top" wrapText="1"/>
      <protection hidden="1"/>
    </xf>
    <xf numFmtId="0" fontId="57" fillId="0" borderId="49" xfId="0" applyFont="1" applyBorder="1" applyProtection="1">
      <alignment vertical="top" wrapText="1"/>
      <protection hidden="1"/>
    </xf>
    <xf numFmtId="0" fontId="142" fillId="0" borderId="38" xfId="0" applyNumberFormat="1" applyFont="1" applyBorder="1" applyProtection="1">
      <alignment vertical="top" wrapText="1"/>
      <protection locked="0" hidden="1"/>
    </xf>
    <xf numFmtId="0" fontId="143" fillId="0" borderId="38" xfId="0" applyFont="1" applyBorder="1" applyProtection="1">
      <alignment vertical="top" wrapText="1"/>
      <protection locked="0" hidden="1"/>
    </xf>
    <xf numFmtId="49" fontId="117" fillId="12" borderId="113" xfId="0" applyNumberFormat="1" applyFont="1" applyFill="1" applyBorder="1" applyAlignment="1" applyProtection="1">
      <alignment horizontal="center" vertical="top" wrapText="1" readingOrder="1"/>
      <protection hidden="1"/>
    </xf>
    <xf numFmtId="49" fontId="117" fillId="12" borderId="43" xfId="0" applyNumberFormat="1" applyFont="1" applyFill="1" applyBorder="1" applyAlignment="1" applyProtection="1">
      <alignment horizontal="center" vertical="top" wrapText="1" readingOrder="1"/>
      <protection hidden="1"/>
    </xf>
    <xf numFmtId="49" fontId="117" fillId="12" borderId="144" xfId="0" applyNumberFormat="1" applyFont="1" applyFill="1" applyBorder="1" applyAlignment="1" applyProtection="1">
      <alignment horizontal="center" vertical="top" wrapText="1" readingOrder="1"/>
      <protection hidden="1"/>
    </xf>
    <xf numFmtId="49" fontId="51" fillId="0" borderId="113" xfId="0" applyNumberFormat="1" applyFont="1" applyBorder="1" applyProtection="1">
      <alignment vertical="top" wrapText="1"/>
      <protection hidden="1"/>
    </xf>
    <xf numFmtId="49" fontId="51" fillId="0" borderId="43" xfId="0" applyNumberFormat="1" applyFont="1" applyBorder="1" applyProtection="1">
      <alignment vertical="top" wrapText="1"/>
      <protection hidden="1"/>
    </xf>
    <xf numFmtId="0" fontId="44" fillId="0" borderId="41" xfId="0" applyFont="1" applyBorder="1" applyProtection="1">
      <alignment vertical="top" wrapText="1"/>
      <protection hidden="1"/>
    </xf>
    <xf numFmtId="0" fontId="44" fillId="0" borderId="42" xfId="0" applyFont="1" applyBorder="1" applyProtection="1">
      <alignment vertical="top" wrapText="1"/>
      <protection hidden="1"/>
    </xf>
    <xf numFmtId="49" fontId="46" fillId="0" borderId="113" xfId="0" applyNumberFormat="1" applyFont="1" applyBorder="1" applyProtection="1">
      <alignment vertical="top" wrapText="1"/>
      <protection hidden="1"/>
    </xf>
    <xf numFmtId="49" fontId="46" fillId="0" borderId="43" xfId="0" applyNumberFormat="1" applyFont="1" applyBorder="1" applyProtection="1">
      <alignment vertical="top" wrapText="1"/>
      <protection hidden="1"/>
    </xf>
    <xf numFmtId="171" fontId="50" fillId="13" borderId="38" xfId="0" applyNumberFormat="1" applyFont="1" applyFill="1" applyBorder="1" applyAlignment="1" applyProtection="1">
      <alignment horizontal="right" vertical="top" wrapText="1"/>
      <protection hidden="1"/>
    </xf>
    <xf numFmtId="171" fontId="44" fillId="13" borderId="38" xfId="0" applyNumberFormat="1" applyFont="1" applyFill="1" applyBorder="1" applyProtection="1">
      <alignment vertical="top" wrapText="1"/>
      <protection hidden="1"/>
    </xf>
    <xf numFmtId="2" fontId="51" fillId="0" borderId="154" xfId="0" applyNumberFormat="1" applyFont="1" applyBorder="1" applyProtection="1">
      <alignment vertical="top" wrapText="1"/>
      <protection hidden="1"/>
    </xf>
    <xf numFmtId="2" fontId="51" fillId="0" borderId="114" xfId="0" applyNumberFormat="1" applyFont="1" applyBorder="1" applyProtection="1">
      <alignment vertical="top" wrapText="1"/>
      <protection hidden="1"/>
    </xf>
    <xf numFmtId="171" fontId="50" fillId="13" borderId="115" xfId="0" applyNumberFormat="1" applyFont="1" applyFill="1" applyBorder="1" applyAlignment="1" applyProtection="1">
      <alignment horizontal="right" vertical="top" wrapText="1"/>
      <protection hidden="1"/>
    </xf>
    <xf numFmtId="171" fontId="44" fillId="13" borderId="107" xfId="0" applyNumberFormat="1" applyFont="1" applyFill="1" applyBorder="1" applyProtection="1">
      <alignment vertical="top" wrapText="1"/>
      <protection hidden="1"/>
    </xf>
    <xf numFmtId="49" fontId="48" fillId="0" borderId="155" xfId="0" applyNumberFormat="1" applyFont="1" applyBorder="1" applyAlignment="1" applyProtection="1">
      <alignment horizontal="left" vertical="top" wrapText="1" readingOrder="1"/>
      <protection hidden="1"/>
    </xf>
    <xf numFmtId="49" fontId="48" fillId="0" borderId="44" xfId="0" applyNumberFormat="1" applyFont="1" applyBorder="1" applyAlignment="1" applyProtection="1">
      <alignment horizontal="left" vertical="top" wrapText="1" readingOrder="1"/>
      <protection hidden="1"/>
    </xf>
    <xf numFmtId="49" fontId="48" fillId="0" borderId="46" xfId="0" applyNumberFormat="1" applyFont="1" applyBorder="1" applyAlignment="1" applyProtection="1">
      <alignment horizontal="left" vertical="top" wrapText="1" readingOrder="1"/>
      <protection hidden="1"/>
    </xf>
    <xf numFmtId="49" fontId="48" fillId="0" borderId="136" xfId="0" applyNumberFormat="1" applyFont="1" applyBorder="1" applyAlignment="1" applyProtection="1">
      <alignment horizontal="left" vertical="top" wrapText="1" readingOrder="1"/>
      <protection hidden="1"/>
    </xf>
    <xf numFmtId="49" fontId="48" fillId="0" borderId="45" xfId="0" applyNumberFormat="1" applyFont="1" applyBorder="1" applyAlignment="1" applyProtection="1">
      <alignment horizontal="left" vertical="top" wrapText="1" readingOrder="1"/>
      <protection hidden="1"/>
    </xf>
    <xf numFmtId="49" fontId="48" fillId="0" borderId="47" xfId="0" applyNumberFormat="1" applyFont="1" applyBorder="1" applyAlignment="1" applyProtection="1">
      <alignment horizontal="left" vertical="top" wrapText="1" readingOrder="1"/>
      <protection hidden="1"/>
    </xf>
    <xf numFmtId="0" fontId="55" fillId="0" borderId="41" xfId="0" applyNumberFormat="1" applyFont="1" applyBorder="1" applyProtection="1">
      <alignment vertical="top" wrapText="1"/>
      <protection hidden="1"/>
    </xf>
    <xf numFmtId="0" fontId="57" fillId="0" borderId="38" xfId="0" applyFont="1" applyBorder="1" applyProtection="1">
      <alignment vertical="top" wrapText="1"/>
      <protection hidden="1"/>
    </xf>
    <xf numFmtId="49" fontId="49" fillId="0" borderId="40" xfId="0" applyNumberFormat="1" applyFont="1" applyBorder="1" applyProtection="1">
      <alignment vertical="top" wrapText="1"/>
      <protection hidden="1"/>
    </xf>
    <xf numFmtId="2" fontId="55" fillId="0" borderId="41" xfId="0" applyNumberFormat="1" applyFont="1" applyBorder="1" applyProtection="1">
      <alignment vertical="top" wrapText="1"/>
      <protection hidden="1"/>
    </xf>
    <xf numFmtId="2" fontId="57" fillId="0" borderId="38" xfId="0" applyNumberFormat="1" applyFont="1" applyBorder="1" applyProtection="1">
      <alignment vertical="top" wrapText="1"/>
      <protection hidden="1"/>
    </xf>
    <xf numFmtId="0" fontId="7" fillId="0" borderId="117" xfId="0" applyNumberFormat="1" applyFont="1" applyBorder="1" applyProtection="1">
      <alignment vertical="top" wrapText="1"/>
      <protection hidden="1"/>
    </xf>
    <xf numFmtId="0" fontId="7" fillId="0" borderId="118" xfId="0" applyNumberFormat="1" applyFont="1" applyBorder="1" applyProtection="1">
      <alignment vertical="top" wrapText="1"/>
      <protection hidden="1"/>
    </xf>
    <xf numFmtId="0" fontId="7" fillId="0" borderId="119" xfId="0" applyNumberFormat="1" applyFont="1" applyBorder="1" applyProtection="1">
      <alignment vertical="top" wrapText="1"/>
      <protection hidden="1"/>
    </xf>
    <xf numFmtId="2" fontId="57" fillId="0" borderId="42" xfId="0" applyNumberFormat="1" applyFont="1" applyBorder="1" applyProtection="1">
      <alignment vertical="top" wrapText="1"/>
      <protection hidden="1"/>
    </xf>
    <xf numFmtId="49" fontId="45" fillId="0" borderId="111" xfId="0" applyNumberFormat="1" applyFont="1" applyBorder="1" applyAlignment="1" applyProtection="1">
      <alignment horizontal="center" vertical="top" wrapText="1"/>
      <protection hidden="1"/>
    </xf>
    <xf numFmtId="49" fontId="45" fillId="0" borderId="110" xfId="0" applyNumberFormat="1" applyFont="1" applyBorder="1" applyAlignment="1" applyProtection="1">
      <alignment horizontal="center" vertical="top" wrapText="1"/>
      <protection hidden="1"/>
    </xf>
    <xf numFmtId="49" fontId="45" fillId="0" borderId="102" xfId="0" applyNumberFormat="1" applyFont="1" applyBorder="1" applyProtection="1">
      <alignment vertical="top" wrapText="1"/>
      <protection hidden="1"/>
    </xf>
    <xf numFmtId="0" fontId="44" fillId="0" borderId="102" xfId="0" applyFont="1" applyBorder="1" applyProtection="1">
      <alignment vertical="top" wrapText="1"/>
      <protection hidden="1"/>
    </xf>
    <xf numFmtId="49" fontId="117" fillId="0" borderId="157" xfId="0" applyNumberFormat="1" applyFont="1" applyBorder="1" applyAlignment="1" applyProtection="1">
      <alignment horizontal="left" vertical="top" wrapText="1"/>
      <protection hidden="1"/>
    </xf>
    <xf numFmtId="49" fontId="117" fillId="0" borderId="109" xfId="0" applyNumberFormat="1" applyFont="1" applyBorder="1" applyAlignment="1" applyProtection="1">
      <alignment horizontal="left" vertical="top" wrapText="1"/>
      <protection hidden="1"/>
    </xf>
    <xf numFmtId="49" fontId="21" fillId="0" borderId="39" xfId="0" applyNumberFormat="1" applyFont="1" applyBorder="1" applyProtection="1">
      <alignment vertical="top" wrapText="1"/>
      <protection hidden="1"/>
    </xf>
    <xf numFmtId="49" fontId="45" fillId="12" borderId="38" xfId="0" applyNumberFormat="1" applyFont="1" applyFill="1" applyBorder="1" applyProtection="1">
      <alignment vertical="top" wrapText="1"/>
      <protection hidden="1"/>
    </xf>
    <xf numFmtId="0" fontId="44" fillId="12" borderId="105" xfId="0" applyFont="1" applyFill="1" applyBorder="1" applyProtection="1">
      <alignment vertical="top" wrapText="1"/>
      <protection hidden="1"/>
    </xf>
    <xf numFmtId="49" fontId="145" fillId="12" borderId="38" xfId="0" applyNumberFormat="1" applyFont="1" applyFill="1" applyBorder="1" applyProtection="1">
      <alignment vertical="top" wrapText="1"/>
      <protection hidden="1"/>
    </xf>
    <xf numFmtId="172" fontId="55" fillId="0" borderId="6" xfId="0" applyNumberFormat="1" applyFont="1" applyBorder="1" applyProtection="1">
      <alignment vertical="top" wrapText="1"/>
      <protection hidden="1"/>
    </xf>
    <xf numFmtId="172" fontId="57" fillId="0" borderId="6" xfId="0" applyNumberFormat="1" applyFont="1" applyBorder="1" applyProtection="1">
      <alignment vertical="top" wrapText="1"/>
      <protection hidden="1"/>
    </xf>
    <xf numFmtId="0" fontId="7" fillId="12" borderId="114" xfId="0" applyFont="1" applyFill="1" applyBorder="1" applyAlignment="1" applyProtection="1">
      <alignment horizontal="center" vertical="top" wrapText="1"/>
      <protection hidden="1"/>
    </xf>
    <xf numFmtId="0" fontId="146" fillId="12" borderId="108" xfId="0" applyFont="1" applyFill="1" applyBorder="1" applyProtection="1">
      <alignment vertical="top" wrapText="1"/>
      <protection hidden="1"/>
    </xf>
    <xf numFmtId="0" fontId="22" fillId="0" borderId="6" xfId="0" applyFont="1" applyBorder="1" applyProtection="1">
      <alignment vertical="top" wrapText="1"/>
      <protection hidden="1"/>
    </xf>
    <xf numFmtId="2" fontId="22" fillId="0" borderId="6" xfId="0" applyNumberFormat="1" applyFont="1" applyBorder="1" applyProtection="1">
      <alignment vertical="top" wrapText="1"/>
      <protection hidden="1"/>
    </xf>
    <xf numFmtId="2" fontId="0" fillId="0" borderId="6" xfId="0" applyNumberFormat="1" applyBorder="1" applyProtection="1">
      <alignment vertical="top" wrapText="1"/>
      <protection hidden="1"/>
    </xf>
    <xf numFmtId="49" fontId="62" fillId="12" borderId="110" xfId="0" applyNumberFormat="1" applyFont="1" applyFill="1" applyBorder="1" applyAlignment="1" applyProtection="1">
      <alignment horizontal="left" vertical="top" wrapText="1" readingOrder="1"/>
      <protection hidden="1"/>
    </xf>
    <xf numFmtId="0" fontId="30" fillId="12" borderId="111" xfId="0" applyFont="1" applyFill="1" applyBorder="1" applyProtection="1">
      <alignment vertical="top" wrapText="1"/>
      <protection hidden="1"/>
    </xf>
    <xf numFmtId="171" fontId="23" fillId="12" borderId="160" xfId="0" applyNumberFormat="1" applyFont="1" applyFill="1" applyBorder="1" applyAlignment="1" applyProtection="1">
      <alignment horizontal="left" vertical="top" wrapText="1" readingOrder="1"/>
      <protection hidden="1"/>
    </xf>
    <xf numFmtId="171" fontId="0" fillId="12" borderId="112" xfId="0" applyNumberFormat="1" applyFill="1" applyBorder="1" applyProtection="1">
      <alignment vertical="top" wrapText="1"/>
      <protection hidden="1"/>
    </xf>
    <xf numFmtId="171" fontId="0" fillId="12" borderId="135" xfId="0" applyNumberFormat="1" applyFill="1" applyBorder="1" applyProtection="1">
      <alignment vertical="top" wrapText="1"/>
      <protection hidden="1"/>
    </xf>
    <xf numFmtId="0" fontId="19" fillId="12" borderId="160" xfId="0" applyFont="1" applyFill="1" applyBorder="1" applyProtection="1">
      <alignment vertical="top" wrapText="1"/>
      <protection hidden="1"/>
    </xf>
    <xf numFmtId="0" fontId="0" fillId="12" borderId="135" xfId="0" applyFill="1" applyBorder="1" applyProtection="1">
      <alignment vertical="top" wrapText="1"/>
      <protection hidden="1"/>
    </xf>
    <xf numFmtId="1" fontId="145" fillId="12" borderId="41" xfId="0" applyNumberFormat="1" applyFont="1" applyFill="1" applyBorder="1" applyProtection="1">
      <alignment vertical="top" wrapText="1"/>
      <protection hidden="1"/>
    </xf>
    <xf numFmtId="1" fontId="146" fillId="12" borderId="115" xfId="0" applyNumberFormat="1" applyFont="1" applyFill="1" applyBorder="1" applyProtection="1">
      <alignment vertical="top" wrapText="1"/>
      <protection hidden="1"/>
    </xf>
    <xf numFmtId="0" fontId="146" fillId="12" borderId="107" xfId="0" applyFont="1" applyFill="1" applyBorder="1" applyProtection="1">
      <alignment vertical="top" wrapText="1"/>
      <protection hidden="1"/>
    </xf>
    <xf numFmtId="49" fontId="142" fillId="12" borderId="114" xfId="0" applyNumberFormat="1" applyFont="1" applyFill="1" applyBorder="1" applyAlignment="1" applyProtection="1">
      <alignment horizontal="center" vertical="top" wrapText="1" readingOrder="1"/>
      <protection locked="0" hidden="1"/>
    </xf>
    <xf numFmtId="49" fontId="142" fillId="12" borderId="139" xfId="0" applyNumberFormat="1" applyFont="1" applyFill="1" applyBorder="1" applyAlignment="1" applyProtection="1">
      <alignment horizontal="center" vertical="top" wrapText="1" readingOrder="1"/>
      <protection locked="0" hidden="1"/>
    </xf>
    <xf numFmtId="2" fontId="82" fillId="0" borderId="102" xfId="0" applyNumberFormat="1" applyFont="1" applyBorder="1" applyAlignment="1" applyProtection="1">
      <alignment horizontal="left" vertical="top" wrapText="1" readingOrder="1"/>
      <protection hidden="1"/>
    </xf>
    <xf numFmtId="2" fontId="46" fillId="0" borderId="102" xfId="0" applyNumberFormat="1" applyFont="1" applyBorder="1" applyAlignment="1" applyProtection="1">
      <alignment horizontal="left" vertical="top" wrapText="1" readingOrder="1"/>
      <protection hidden="1"/>
    </xf>
    <xf numFmtId="2" fontId="46" fillId="0" borderId="38" xfId="0" applyNumberFormat="1" applyFont="1" applyBorder="1" applyAlignment="1" applyProtection="1">
      <alignment horizontal="left" vertical="top" wrapText="1" readingOrder="1"/>
      <protection hidden="1"/>
    </xf>
    <xf numFmtId="2" fontId="46" fillId="4" borderId="112" xfId="0" applyNumberFormat="1" applyFont="1" applyFill="1" applyBorder="1" applyAlignment="1" applyProtection="1">
      <alignment horizontal="left" vertical="top" wrapText="1"/>
      <protection hidden="1"/>
    </xf>
    <xf numFmtId="2" fontId="44" fillId="0" borderId="112" xfId="0" applyNumberFormat="1" applyFont="1" applyBorder="1" applyProtection="1">
      <alignment vertical="top" wrapText="1"/>
      <protection hidden="1"/>
    </xf>
    <xf numFmtId="2" fontId="44" fillId="0" borderId="140" xfId="0" applyNumberFormat="1" applyFont="1" applyBorder="1" applyProtection="1">
      <alignment vertical="top" wrapText="1"/>
      <protection hidden="1"/>
    </xf>
    <xf numFmtId="49" fontId="46" fillId="0" borderId="38" xfId="0" applyNumberFormat="1" applyFont="1" applyBorder="1" applyAlignment="1" applyProtection="1">
      <alignment horizontal="left" vertical="top" wrapText="1" readingOrder="1"/>
      <protection hidden="1"/>
    </xf>
    <xf numFmtId="0" fontId="82" fillId="0" borderId="38" xfId="0" applyFont="1" applyBorder="1" applyProtection="1">
      <alignment vertical="top" wrapText="1"/>
      <protection hidden="1"/>
    </xf>
    <xf numFmtId="0" fontId="82" fillId="0" borderId="42" xfId="0" applyFont="1" applyBorder="1" applyProtection="1">
      <alignment vertical="top" wrapText="1"/>
      <protection hidden="1"/>
    </xf>
    <xf numFmtId="164" fontId="46" fillId="0" borderId="41" xfId="0" applyNumberFormat="1" applyFont="1" applyBorder="1" applyProtection="1">
      <alignment vertical="top" wrapText="1"/>
      <protection hidden="1"/>
    </xf>
    <xf numFmtId="0" fontId="82" fillId="0" borderId="105" xfId="0" applyFont="1" applyBorder="1" applyProtection="1">
      <alignment vertical="top" wrapText="1"/>
      <protection hidden="1"/>
    </xf>
    <xf numFmtId="0" fontId="82" fillId="0" borderId="126" xfId="0" applyFont="1" applyBorder="1" applyAlignment="1" applyProtection="1">
      <alignment horizontal="left" vertical="top" wrapText="1"/>
      <protection hidden="1"/>
    </xf>
    <xf numFmtId="49" fontId="18" fillId="0" borderId="49" xfId="0" applyNumberFormat="1" applyFont="1" applyBorder="1" applyAlignment="1" applyProtection="1">
      <alignment horizontal="left" vertical="top" wrapText="1" readingOrder="1"/>
      <protection hidden="1"/>
    </xf>
    <xf numFmtId="49" fontId="18" fillId="0" borderId="44" xfId="0" applyNumberFormat="1" applyFont="1" applyBorder="1" applyAlignment="1" applyProtection="1">
      <alignment horizontal="left" vertical="top" wrapText="1" readingOrder="1"/>
      <protection hidden="1"/>
    </xf>
    <xf numFmtId="49" fontId="18" fillId="0" borderId="46" xfId="0" applyNumberFormat="1" applyFont="1" applyBorder="1" applyAlignment="1" applyProtection="1">
      <alignment horizontal="left" vertical="top" wrapText="1" readingOrder="1"/>
      <protection hidden="1"/>
    </xf>
    <xf numFmtId="49" fontId="21" fillId="0" borderId="42" xfId="0" applyNumberFormat="1" applyFont="1" applyBorder="1" applyAlignment="1" applyProtection="1">
      <alignment horizontal="center" vertical="top" wrapText="1"/>
      <protection hidden="1"/>
    </xf>
    <xf numFmtId="49" fontId="21" fillId="0" borderId="43" xfId="0" applyNumberFormat="1" applyFont="1" applyBorder="1" applyAlignment="1" applyProtection="1">
      <alignment horizontal="center" vertical="top" wrapText="1"/>
      <protection hidden="1"/>
    </xf>
    <xf numFmtId="49" fontId="21" fillId="0" borderId="41" xfId="0" applyNumberFormat="1" applyFont="1" applyBorder="1" applyAlignment="1" applyProtection="1">
      <alignment horizontal="center" vertical="top" wrapText="1"/>
      <protection hidden="1"/>
    </xf>
    <xf numFmtId="0" fontId="145" fillId="12" borderId="48" xfId="0" applyNumberFormat="1" applyFont="1" applyFill="1" applyBorder="1" applyAlignment="1" applyProtection="1">
      <alignment horizontal="center" vertical="top" wrapText="1"/>
      <protection hidden="1"/>
    </xf>
    <xf numFmtId="0" fontId="145" fillId="12" borderId="45" xfId="0" applyNumberFormat="1" applyFont="1" applyFill="1" applyBorder="1" applyAlignment="1" applyProtection="1">
      <alignment horizontal="center" vertical="top" wrapText="1"/>
      <protection hidden="1"/>
    </xf>
    <xf numFmtId="0" fontId="145" fillId="12" borderId="47" xfId="0" applyNumberFormat="1" applyFont="1" applyFill="1" applyBorder="1" applyAlignment="1" applyProtection="1">
      <alignment horizontal="center" vertical="top" wrapText="1"/>
      <protection hidden="1"/>
    </xf>
    <xf numFmtId="49" fontId="6" fillId="0" borderId="40" xfId="0" applyNumberFormat="1" applyFont="1" applyBorder="1" applyProtection="1">
      <alignment vertical="top" wrapText="1"/>
      <protection hidden="1"/>
    </xf>
    <xf numFmtId="2" fontId="55" fillId="0" borderId="47" xfId="0" applyNumberFormat="1" applyFont="1" applyBorder="1" applyProtection="1">
      <alignment vertical="top" wrapText="1"/>
      <protection hidden="1"/>
    </xf>
    <xf numFmtId="2" fontId="57" fillId="0" borderId="48" xfId="0" applyNumberFormat="1" applyFont="1" applyBorder="1" applyProtection="1">
      <alignment vertical="top" wrapText="1"/>
      <protection hidden="1"/>
    </xf>
    <xf numFmtId="0" fontId="50" fillId="13" borderId="128" xfId="0" applyFont="1" applyFill="1" applyBorder="1" applyAlignment="1" applyProtection="1">
      <alignment horizontal="left" vertical="top" wrapText="1" readingOrder="1"/>
      <protection hidden="1"/>
    </xf>
    <xf numFmtId="49" fontId="62" fillId="0" borderId="157" xfId="0" applyNumberFormat="1" applyFont="1" applyBorder="1" applyAlignment="1" applyProtection="1">
      <alignment horizontal="left" vertical="top" wrapText="1"/>
      <protection hidden="1"/>
    </xf>
    <xf numFmtId="49" fontId="62" fillId="0" borderId="109" xfId="0" applyNumberFormat="1" applyFont="1" applyBorder="1" applyAlignment="1" applyProtection="1">
      <alignment horizontal="left" vertical="top" wrapText="1"/>
      <protection hidden="1"/>
    </xf>
    <xf numFmtId="2" fontId="99" fillId="0" borderId="6" xfId="0" applyNumberFormat="1" applyFont="1" applyBorder="1" applyProtection="1">
      <alignment vertical="top" wrapText="1"/>
      <protection hidden="1"/>
    </xf>
    <xf numFmtId="171" fontId="50" fillId="13" borderId="41" xfId="0" applyNumberFormat="1" applyFont="1" applyFill="1" applyBorder="1" applyAlignment="1" applyProtection="1">
      <alignment horizontal="right" vertical="top" wrapText="1"/>
      <protection hidden="1"/>
    </xf>
    <xf numFmtId="49" fontId="19" fillId="0" borderId="104" xfId="0" applyNumberFormat="1" applyFont="1" applyBorder="1" applyProtection="1">
      <alignment vertical="top" wrapText="1"/>
      <protection hidden="1"/>
    </xf>
    <xf numFmtId="0" fontId="0" fillId="0" borderId="42" xfId="0" applyBorder="1" applyProtection="1">
      <alignment vertical="top" wrapText="1"/>
      <protection hidden="1"/>
    </xf>
    <xf numFmtId="0" fontId="50" fillId="25" borderId="6" xfId="0" applyNumberFormat="1" applyFont="1" applyFill="1" applyBorder="1" applyProtection="1">
      <alignment vertical="top" wrapText="1"/>
      <protection hidden="1"/>
    </xf>
    <xf numFmtId="0" fontId="44" fillId="25" borderId="6" xfId="0" applyFont="1" applyFill="1" applyBorder="1" applyProtection="1">
      <alignment vertical="top" wrapText="1"/>
      <protection hidden="1"/>
    </xf>
    <xf numFmtId="1" fontId="50" fillId="25" borderId="6" xfId="0" applyNumberFormat="1" applyFont="1" applyFill="1" applyBorder="1" applyAlignment="1" applyProtection="1">
      <alignment horizontal="center" vertical="top" wrapText="1"/>
      <protection hidden="1"/>
    </xf>
    <xf numFmtId="0" fontId="51" fillId="0" borderId="6" xfId="0" applyFont="1" applyBorder="1" applyAlignment="1" applyProtection="1">
      <alignment horizontal="left" vertical="top" wrapText="1"/>
      <protection hidden="1"/>
    </xf>
    <xf numFmtId="0" fontId="51" fillId="12" borderId="6" xfId="0" applyFont="1" applyFill="1" applyBorder="1" applyAlignment="1" applyProtection="1">
      <alignment horizontal="right" vertical="top" wrapText="1"/>
      <protection hidden="1"/>
    </xf>
    <xf numFmtId="49" fontId="117" fillId="12" borderId="157" xfId="0" applyNumberFormat="1" applyFont="1" applyFill="1" applyBorder="1" applyAlignment="1" applyProtection="1">
      <alignment horizontal="center" vertical="top" wrapText="1" readingOrder="1"/>
      <protection hidden="1"/>
    </xf>
    <xf numFmtId="49" fontId="117" fillId="12" borderId="109" xfId="0" applyNumberFormat="1" applyFont="1" applyFill="1" applyBorder="1" applyAlignment="1" applyProtection="1">
      <alignment horizontal="center" vertical="top" wrapText="1" readingOrder="1"/>
      <protection hidden="1"/>
    </xf>
    <xf numFmtId="49" fontId="117" fillId="12" borderId="158" xfId="0" applyNumberFormat="1" applyFont="1" applyFill="1" applyBorder="1" applyAlignment="1" applyProtection="1">
      <alignment horizontal="center" vertical="top" wrapText="1" readingOrder="1"/>
      <protection hidden="1"/>
    </xf>
    <xf numFmtId="0" fontId="0" fillId="0" borderId="52" xfId="0" applyBorder="1" applyProtection="1">
      <alignment vertical="top" wrapText="1"/>
      <protection hidden="1"/>
    </xf>
    <xf numFmtId="0" fontId="44" fillId="0" borderId="6" xfId="0" applyFont="1" applyBorder="1" applyProtection="1">
      <alignment vertical="top" wrapText="1"/>
      <protection hidden="1"/>
    </xf>
    <xf numFmtId="0" fontId="44" fillId="13" borderId="128" xfId="0" applyFont="1" applyFill="1" applyBorder="1" applyProtection="1">
      <alignment vertical="top" wrapText="1"/>
      <protection hidden="1"/>
    </xf>
    <xf numFmtId="171" fontId="46" fillId="13" borderId="6" xfId="0" applyNumberFormat="1" applyFont="1" applyFill="1" applyBorder="1" applyAlignment="1" applyProtection="1">
      <alignment horizontal="center" vertical="top" wrapText="1"/>
      <protection hidden="1"/>
    </xf>
    <xf numFmtId="0" fontId="52" fillId="13" borderId="45" xfId="0" applyFont="1" applyFill="1" applyBorder="1" applyProtection="1">
      <alignment vertical="top" wrapText="1"/>
      <protection hidden="1"/>
    </xf>
    <xf numFmtId="0" fontId="44" fillId="13" borderId="45" xfId="0" applyFont="1" applyFill="1" applyBorder="1" applyProtection="1">
      <alignment vertical="top" wrapText="1"/>
      <protection hidden="1"/>
    </xf>
    <xf numFmtId="168" fontId="48" fillId="13" borderId="124" xfId="0" applyNumberFormat="1" applyFont="1" applyFill="1" applyBorder="1" applyProtection="1">
      <alignment vertical="top" wrapText="1"/>
      <protection hidden="1"/>
    </xf>
    <xf numFmtId="0" fontId="44" fillId="13" borderId="124" xfId="0" applyFont="1" applyFill="1" applyBorder="1" applyProtection="1">
      <alignment vertical="top" wrapText="1"/>
      <protection hidden="1"/>
    </xf>
    <xf numFmtId="0" fontId="46" fillId="13" borderId="6" xfId="0" applyNumberFormat="1" applyFont="1" applyFill="1" applyBorder="1" applyProtection="1">
      <alignment vertical="top" wrapText="1"/>
      <protection hidden="1"/>
    </xf>
    <xf numFmtId="49" fontId="52" fillId="13" borderId="6" xfId="0" applyNumberFormat="1" applyFont="1" applyFill="1" applyBorder="1" applyProtection="1">
      <alignment vertical="top" wrapText="1"/>
      <protection hidden="1"/>
    </xf>
    <xf numFmtId="0" fontId="121" fillId="13" borderId="6" xfId="0" applyFont="1" applyFill="1" applyBorder="1" applyProtection="1">
      <alignment vertical="top" wrapText="1"/>
      <protection hidden="1"/>
    </xf>
    <xf numFmtId="0" fontId="48" fillId="13" borderId="124" xfId="0" applyFont="1" applyFill="1" applyBorder="1" applyProtection="1">
      <alignment vertical="top" wrapText="1"/>
      <protection hidden="1"/>
    </xf>
    <xf numFmtId="1" fontId="50" fillId="13" borderId="6" xfId="0" applyNumberFormat="1" applyFont="1" applyFill="1" applyBorder="1" applyProtection="1">
      <alignment vertical="top" wrapText="1"/>
      <protection hidden="1"/>
    </xf>
    <xf numFmtId="1" fontId="44" fillId="13" borderId="6" xfId="0" applyNumberFormat="1" applyFont="1" applyFill="1" applyBorder="1" applyProtection="1">
      <alignment vertical="top" wrapText="1"/>
      <protection hidden="1"/>
    </xf>
    <xf numFmtId="0" fontId="50" fillId="0" borderId="6" xfId="0" applyFont="1" applyBorder="1" applyProtection="1">
      <alignment vertical="top" wrapText="1"/>
      <protection hidden="1"/>
    </xf>
    <xf numFmtId="0" fontId="50" fillId="13" borderId="133" xfId="0" applyFont="1" applyFill="1" applyBorder="1" applyAlignment="1" applyProtection="1">
      <alignment horizontal="left" vertical="top" wrapText="1" readingOrder="1"/>
      <protection hidden="1"/>
    </xf>
    <xf numFmtId="0" fontId="143" fillId="0" borderId="39" xfId="0" applyFont="1" applyBorder="1" applyProtection="1">
      <alignment vertical="top" wrapText="1"/>
      <protection locked="0" hidden="1"/>
    </xf>
    <xf numFmtId="0" fontId="44" fillId="13" borderId="6" xfId="0" applyNumberFormat="1" applyFont="1" applyFill="1" applyBorder="1" applyProtection="1">
      <alignment vertical="top" wrapText="1"/>
      <protection hidden="1"/>
    </xf>
    <xf numFmtId="0" fontId="19" fillId="12" borderId="115" xfId="0" applyFont="1" applyFill="1" applyBorder="1" applyProtection="1">
      <alignment vertical="top" wrapText="1"/>
      <protection hidden="1"/>
    </xf>
    <xf numFmtId="0" fontId="0" fillId="12" borderId="156" xfId="0" applyFill="1" applyBorder="1" applyProtection="1">
      <alignment vertical="top" wrapText="1"/>
      <protection hidden="1"/>
    </xf>
    <xf numFmtId="165" fontId="23" fillId="12" borderId="115" xfId="0" applyNumberFormat="1" applyFont="1" applyFill="1" applyBorder="1" applyAlignment="1" applyProtection="1">
      <alignment horizontal="left" vertical="top" wrapText="1" readingOrder="1"/>
      <protection hidden="1"/>
    </xf>
    <xf numFmtId="0" fontId="0" fillId="12" borderId="107" xfId="0" applyFill="1" applyBorder="1" applyProtection="1">
      <alignment vertical="top" wrapText="1"/>
      <protection hidden="1"/>
    </xf>
    <xf numFmtId="49" fontId="18" fillId="0" borderId="104" xfId="0" applyNumberFormat="1" applyFont="1" applyBorder="1" applyAlignment="1" applyProtection="1">
      <alignment horizontal="left" vertical="top" wrapText="1" readingOrder="1"/>
      <protection hidden="1"/>
    </xf>
    <xf numFmtId="167" fontId="19" fillId="12" borderId="38" xfId="0" applyNumberFormat="1" applyFont="1" applyFill="1" applyBorder="1" applyProtection="1">
      <alignment vertical="top" wrapText="1"/>
      <protection hidden="1"/>
    </xf>
    <xf numFmtId="49" fontId="12" fillId="0" borderId="104" xfId="0" applyNumberFormat="1" applyFont="1" applyBorder="1" applyProtection="1">
      <alignment vertical="top" wrapText="1"/>
      <protection hidden="1"/>
    </xf>
    <xf numFmtId="2" fontId="12" fillId="0" borderId="106" xfId="0" applyNumberFormat="1" applyFont="1" applyBorder="1" applyProtection="1">
      <alignment vertical="top" wrapText="1"/>
      <protection hidden="1"/>
    </xf>
    <xf numFmtId="2" fontId="0" fillId="0" borderId="107" xfId="0" applyNumberFormat="1" applyBorder="1" applyProtection="1">
      <alignment vertical="top" wrapText="1"/>
      <protection hidden="1"/>
    </xf>
    <xf numFmtId="2" fontId="9" fillId="0" borderId="107" xfId="0" applyNumberFormat="1" applyFont="1" applyBorder="1" applyProtection="1">
      <alignment vertical="top" wrapText="1"/>
      <protection hidden="1"/>
    </xf>
    <xf numFmtId="2" fontId="0" fillId="0" borderId="156" xfId="0" applyNumberFormat="1" applyBorder="1" applyProtection="1">
      <alignment vertical="top" wrapText="1"/>
      <protection hidden="1"/>
    </xf>
    <xf numFmtId="1" fontId="50" fillId="13" borderId="6" xfId="0" applyNumberFormat="1" applyFont="1" applyFill="1" applyBorder="1" applyAlignment="1" applyProtection="1">
      <alignment horizontal="center" vertical="top" wrapText="1"/>
      <protection hidden="1"/>
    </xf>
    <xf numFmtId="0" fontId="145" fillId="12" borderId="38" xfId="0" applyNumberFormat="1" applyFont="1" applyFill="1" applyBorder="1" applyAlignment="1" applyProtection="1">
      <alignment horizontal="right" vertical="top" wrapText="1"/>
      <protection hidden="1"/>
    </xf>
    <xf numFmtId="0" fontId="146" fillId="12" borderId="107" xfId="0" applyFont="1" applyFill="1" applyBorder="1" applyAlignment="1" applyProtection="1">
      <alignment horizontal="right" vertical="top" wrapText="1"/>
      <protection hidden="1"/>
    </xf>
    <xf numFmtId="1" fontId="22" fillId="0" borderId="6" xfId="0" applyNumberFormat="1" applyFont="1" applyBorder="1" applyProtection="1">
      <alignment vertical="top" wrapText="1"/>
      <protection hidden="1"/>
    </xf>
    <xf numFmtId="1" fontId="0" fillId="0" borderId="6" xfId="0" applyNumberFormat="1" applyBorder="1" applyProtection="1">
      <alignment vertical="top" wrapText="1"/>
      <protection hidden="1"/>
    </xf>
    <xf numFmtId="1" fontId="0" fillId="0" borderId="45" xfId="0" applyNumberFormat="1" applyBorder="1" applyProtection="1">
      <alignment vertical="top" wrapText="1"/>
      <protection hidden="1"/>
    </xf>
    <xf numFmtId="1" fontId="0" fillId="0" borderId="141" xfId="0" applyNumberFormat="1" applyBorder="1" applyProtection="1">
      <alignment vertical="top" wrapText="1"/>
      <protection hidden="1"/>
    </xf>
    <xf numFmtId="0" fontId="44" fillId="0" borderId="122" xfId="0" applyFont="1" applyBorder="1" applyProtection="1">
      <alignment vertical="top" wrapText="1"/>
      <protection hidden="1"/>
    </xf>
    <xf numFmtId="0" fontId="46" fillId="13" borderId="6" xfId="0" applyFont="1" applyFill="1" applyBorder="1" applyAlignment="1" applyProtection="1">
      <alignment horizontal="center" vertical="top" wrapText="1"/>
      <protection hidden="1"/>
    </xf>
    <xf numFmtId="0" fontId="48" fillId="0" borderId="110" xfId="0" applyFont="1" applyBorder="1" applyAlignment="1" applyProtection="1">
      <alignment horizontal="left" vertical="top" wrapText="1" readingOrder="1"/>
      <protection hidden="1"/>
    </xf>
    <xf numFmtId="0" fontId="44" fillId="0" borderId="111" xfId="0" applyFont="1" applyBorder="1" applyProtection="1">
      <alignment vertical="top" wrapText="1"/>
      <protection hidden="1"/>
    </xf>
    <xf numFmtId="0" fontId="1" fillId="0" borderId="6" xfId="0" applyFont="1" applyBorder="1" applyAlignment="1" applyProtection="1">
      <alignment horizontal="left" vertical="top" wrapText="1"/>
      <protection hidden="1"/>
    </xf>
    <xf numFmtId="171" fontId="23" fillId="12" borderId="41" xfId="0" applyNumberFormat="1" applyFont="1" applyFill="1" applyBorder="1" applyAlignment="1" applyProtection="1">
      <alignment horizontal="left" vertical="top" wrapText="1" readingOrder="1"/>
      <protection hidden="1"/>
    </xf>
    <xf numFmtId="171" fontId="0" fillId="12" borderId="38" xfId="0" applyNumberFormat="1" applyFill="1" applyBorder="1" applyProtection="1">
      <alignment vertical="top" wrapText="1"/>
      <protection hidden="1"/>
    </xf>
    <xf numFmtId="171" fontId="0" fillId="12" borderId="42" xfId="0" applyNumberFormat="1" applyFill="1" applyBorder="1" applyProtection="1">
      <alignment vertical="top" wrapText="1"/>
      <protection hidden="1"/>
    </xf>
    <xf numFmtId="49" fontId="16" fillId="0" borderId="102" xfId="0" applyNumberFormat="1" applyFont="1" applyBorder="1" applyProtection="1">
      <alignment vertical="top" wrapText="1"/>
      <protection hidden="1"/>
    </xf>
    <xf numFmtId="0" fontId="0" fillId="0" borderId="102" xfId="0" applyBorder="1" applyProtection="1">
      <alignment vertical="top" wrapText="1"/>
      <protection hidden="1"/>
    </xf>
    <xf numFmtId="0" fontId="16" fillId="0" borderId="38" xfId="0" applyNumberFormat="1" applyFont="1" applyBorder="1" applyAlignment="1" applyProtection="1">
      <alignment horizontal="center" vertical="top" wrapText="1"/>
      <protection hidden="1"/>
    </xf>
    <xf numFmtId="0" fontId="0" fillId="0" borderId="38" xfId="0" applyBorder="1" applyAlignment="1" applyProtection="1">
      <alignment horizontal="center" vertical="top" wrapText="1"/>
      <protection hidden="1"/>
    </xf>
    <xf numFmtId="2" fontId="145" fillId="12" borderId="104" xfId="0" applyNumberFormat="1" applyFont="1" applyFill="1" applyBorder="1" applyProtection="1">
      <alignment vertical="top" wrapText="1"/>
      <protection hidden="1"/>
    </xf>
    <xf numFmtId="2" fontId="145" fillId="12" borderId="42" xfId="0" applyNumberFormat="1" applyFont="1" applyFill="1" applyBorder="1" applyProtection="1">
      <alignment vertical="top" wrapText="1"/>
      <protection hidden="1"/>
    </xf>
    <xf numFmtId="172" fontId="1" fillId="0" borderId="136" xfId="0" applyNumberFormat="1" applyFont="1" applyBorder="1" applyAlignment="1" applyProtection="1">
      <alignment horizontal="center" vertical="top" wrapText="1"/>
      <protection hidden="1"/>
    </xf>
    <xf numFmtId="172" fontId="1" fillId="0" borderId="141" xfId="0" applyNumberFormat="1" applyFont="1" applyBorder="1" applyAlignment="1" applyProtection="1">
      <alignment horizontal="center" vertical="top" wrapText="1"/>
      <protection hidden="1"/>
    </xf>
    <xf numFmtId="49" fontId="142" fillId="12" borderId="106" xfId="0" applyNumberFormat="1" applyFont="1" applyFill="1" applyBorder="1" applyAlignment="1" applyProtection="1">
      <alignment horizontal="left" vertical="top" wrapText="1" readingOrder="1"/>
      <protection locked="0" hidden="1"/>
    </xf>
    <xf numFmtId="0" fontId="143" fillId="12" borderId="107" xfId="0" applyFont="1" applyFill="1" applyBorder="1" applyProtection="1">
      <alignment vertical="top" wrapText="1"/>
      <protection locked="0" hidden="1"/>
    </xf>
    <xf numFmtId="0" fontId="143" fillId="12" borderId="156" xfId="0" applyFont="1" applyFill="1" applyBorder="1" applyProtection="1">
      <alignment vertical="top" wrapText="1"/>
      <protection locked="0" hidden="1"/>
    </xf>
    <xf numFmtId="0" fontId="19" fillId="12" borderId="41" xfId="0" applyFont="1" applyFill="1" applyBorder="1" applyProtection="1">
      <alignment vertical="top" wrapText="1"/>
      <protection hidden="1"/>
    </xf>
    <xf numFmtId="0" fontId="0" fillId="12" borderId="42" xfId="0" applyFill="1" applyBorder="1" applyProtection="1">
      <alignment vertical="top" wrapText="1"/>
      <protection hidden="1"/>
    </xf>
    <xf numFmtId="0" fontId="45" fillId="0" borderId="6" xfId="0" applyFont="1" applyBorder="1" applyProtection="1">
      <alignment vertical="top" wrapText="1"/>
      <protection hidden="1"/>
    </xf>
    <xf numFmtId="49" fontId="18" fillId="0" borderId="38" xfId="0" applyNumberFormat="1" applyFont="1" applyBorder="1" applyAlignment="1" applyProtection="1">
      <alignment horizontal="left" vertical="top" wrapText="1" readingOrder="1"/>
      <protection hidden="1"/>
    </xf>
    <xf numFmtId="49" fontId="21" fillId="0" borderId="38" xfId="0" applyNumberFormat="1" applyFont="1" applyBorder="1" applyAlignment="1" applyProtection="1">
      <alignment horizontal="center" vertical="top" wrapText="1"/>
      <protection hidden="1"/>
    </xf>
    <xf numFmtId="49" fontId="62" fillId="12" borderId="38" xfId="0" applyNumberFormat="1" applyFont="1" applyFill="1" applyBorder="1" applyAlignment="1" applyProtection="1">
      <alignment horizontal="left" vertical="top" wrapText="1" readingOrder="1"/>
      <protection hidden="1"/>
    </xf>
    <xf numFmtId="0" fontId="30" fillId="12" borderId="42" xfId="0" applyFont="1" applyFill="1" applyBorder="1" applyProtection="1">
      <alignment vertical="top" wrapText="1"/>
      <protection hidden="1"/>
    </xf>
    <xf numFmtId="0" fontId="145" fillId="12" borderId="41" xfId="0" applyNumberFormat="1" applyFont="1" applyFill="1" applyBorder="1" applyProtection="1">
      <alignment vertical="top" wrapText="1"/>
      <protection hidden="1"/>
    </xf>
    <xf numFmtId="0" fontId="146" fillId="12" borderId="115" xfId="0" applyFont="1" applyFill="1" applyBorder="1" applyProtection="1">
      <alignment vertical="top" wrapText="1"/>
      <protection hidden="1"/>
    </xf>
    <xf numFmtId="0" fontId="1" fillId="0" borderId="120" xfId="0" applyNumberFormat="1" applyFont="1" applyBorder="1" applyAlignment="1" applyProtection="1">
      <alignment horizontal="right" vertical="top" wrapText="1"/>
      <protection hidden="1"/>
    </xf>
    <xf numFmtId="0" fontId="1" fillId="0" borderId="121" xfId="0" applyNumberFormat="1" applyFont="1" applyBorder="1" applyAlignment="1" applyProtection="1">
      <alignment horizontal="right" vertical="top" wrapText="1"/>
      <protection hidden="1"/>
    </xf>
    <xf numFmtId="0" fontId="1" fillId="0" borderId="142" xfId="0" applyNumberFormat="1" applyFont="1" applyBorder="1" applyAlignment="1" applyProtection="1">
      <alignment horizontal="right" vertical="top" wrapText="1"/>
      <protection hidden="1"/>
    </xf>
    <xf numFmtId="0" fontId="1" fillId="0" borderId="40" xfId="0" applyNumberFormat="1" applyFont="1" applyBorder="1" applyAlignment="1" applyProtection="1">
      <alignment horizontal="right" vertical="top" wrapText="1"/>
      <protection hidden="1"/>
    </xf>
    <xf numFmtId="49" fontId="22" fillId="0" borderId="1" xfId="0" applyNumberFormat="1" applyFont="1" applyBorder="1">
      <alignment vertical="top" wrapText="1"/>
    </xf>
    <xf numFmtId="0" fontId="1" fillId="0" borderId="1" xfId="0" applyFont="1" applyBorder="1">
      <alignment vertical="top" wrapText="1"/>
    </xf>
    <xf numFmtId="49" fontId="22" fillId="0" borderId="72" xfId="0" applyNumberFormat="1" applyFont="1" applyBorder="1">
      <alignment vertical="top" wrapText="1"/>
    </xf>
    <xf numFmtId="0" fontId="1" fillId="0" borderId="72" xfId="0" applyFont="1" applyBorder="1">
      <alignment vertical="top" wrapText="1"/>
    </xf>
    <xf numFmtId="49" fontId="22" fillId="0" borderId="77" xfId="0" applyNumberFormat="1" applyFont="1" applyBorder="1">
      <alignment vertical="top" wrapText="1"/>
    </xf>
    <xf numFmtId="0" fontId="1" fillId="0" borderId="77" xfId="0" applyFont="1" applyBorder="1">
      <alignment vertical="top" wrapText="1"/>
    </xf>
    <xf numFmtId="49" fontId="1" fillId="0" borderId="76" xfId="0" applyNumberFormat="1" applyFont="1" applyBorder="1">
      <alignment vertical="top" wrapText="1"/>
    </xf>
    <xf numFmtId="0" fontId="1" fillId="0" borderId="76" xfId="0" applyFont="1" applyBorder="1">
      <alignment vertical="top" wrapText="1"/>
    </xf>
    <xf numFmtId="49" fontId="12" fillId="21" borderId="1" xfId="0" applyNumberFormat="1" applyFont="1" applyFill="1" applyBorder="1">
      <alignment vertical="top" wrapText="1"/>
    </xf>
    <xf numFmtId="0" fontId="1" fillId="21" borderId="1" xfId="0" applyFont="1" applyFill="1" applyBorder="1">
      <alignment vertical="top" wrapText="1"/>
    </xf>
    <xf numFmtId="0" fontId="1" fillId="21" borderId="1" xfId="0" applyFont="1" applyFill="1" applyBorder="1" applyAlignment="1">
      <alignment horizontal="left" vertical="top" wrapText="1"/>
    </xf>
    <xf numFmtId="49" fontId="30" fillId="4" borderId="38" xfId="0" applyNumberFormat="1" applyFont="1" applyFill="1" applyBorder="1">
      <alignment vertical="top" wrapText="1"/>
    </xf>
    <xf numFmtId="49" fontId="12" fillId="3" borderId="1" xfId="0" applyNumberFormat="1" applyFont="1" applyFill="1" applyBorder="1">
      <alignment vertical="top" wrapText="1"/>
    </xf>
    <xf numFmtId="0" fontId="2" fillId="0" borderId="1" xfId="0" applyFont="1" applyBorder="1">
      <alignment vertical="top" wrapText="1"/>
    </xf>
    <xf numFmtId="49" fontId="7" fillId="4" borderId="38" xfId="0" applyNumberFormat="1" applyFont="1" applyFill="1" applyBorder="1">
      <alignment vertical="top" wrapText="1"/>
    </xf>
    <xf numFmtId="49" fontId="22" fillId="0" borderId="73" xfId="0" applyNumberFormat="1" applyFont="1" applyBorder="1">
      <alignment vertical="top" wrapText="1"/>
    </xf>
    <xf numFmtId="0" fontId="1" fillId="0" borderId="73" xfId="0" applyFont="1" applyBorder="1">
      <alignment vertical="top" wrapText="1"/>
    </xf>
    <xf numFmtId="49" fontId="22" fillId="0" borderId="76" xfId="0" applyNumberFormat="1" applyFont="1" applyBorder="1">
      <alignment vertical="top" wrapText="1"/>
    </xf>
    <xf numFmtId="0" fontId="1" fillId="0" borderId="74" xfId="0" applyFont="1" applyBorder="1">
      <alignment vertical="top" wrapText="1"/>
    </xf>
    <xf numFmtId="0" fontId="1" fillId="0" borderId="44" xfId="0" applyFont="1" applyBorder="1">
      <alignment vertical="top" wrapText="1"/>
    </xf>
    <xf numFmtId="0" fontId="1" fillId="0" borderId="75" xfId="0" applyFont="1" applyBorder="1">
      <alignment vertical="top" wrapText="1"/>
    </xf>
    <xf numFmtId="0" fontId="1" fillId="0" borderId="5" xfId="0" applyFont="1" applyBorder="1">
      <alignment vertical="top" wrapText="1"/>
    </xf>
    <xf numFmtId="0" fontId="1" fillId="0" borderId="6" xfId="0" applyFont="1" applyBorder="1">
      <alignment vertical="top" wrapText="1"/>
    </xf>
    <xf numFmtId="0" fontId="1" fillId="0" borderId="53" xfId="0" applyFont="1" applyBorder="1">
      <alignment vertical="top" wrapText="1"/>
    </xf>
    <xf numFmtId="0" fontId="1" fillId="0" borderId="45" xfId="0" applyFont="1" applyBorder="1">
      <alignment vertical="top" wrapText="1"/>
    </xf>
    <xf numFmtId="0" fontId="1" fillId="0" borderId="78" xfId="0" applyFont="1" applyBorder="1">
      <alignment vertical="top" wrapText="1"/>
    </xf>
    <xf numFmtId="49" fontId="19" fillId="0" borderId="54" xfId="0" applyNumberFormat="1" applyFont="1" applyBorder="1" applyAlignment="1">
      <alignment horizontal="left" vertical="top" wrapText="1" readingOrder="1"/>
    </xf>
    <xf numFmtId="49" fontId="19" fillId="0" borderId="12" xfId="0" applyNumberFormat="1" applyFont="1" applyBorder="1" applyAlignment="1">
      <alignment horizontal="left" vertical="top" wrapText="1" readingOrder="1"/>
    </xf>
    <xf numFmtId="0" fontId="76" fillId="4" borderId="55" xfId="0" applyFont="1" applyFill="1" applyBorder="1">
      <alignment vertical="top" wrapText="1"/>
    </xf>
    <xf numFmtId="0" fontId="76" fillId="4" borderId="53" xfId="0" applyFont="1" applyFill="1" applyBorder="1">
      <alignment vertical="top" wrapText="1"/>
    </xf>
    <xf numFmtId="0" fontId="76" fillId="4" borderId="8" xfId="0" applyFont="1" applyFill="1" applyBorder="1">
      <alignment vertical="top" wrapText="1"/>
    </xf>
    <xf numFmtId="49" fontId="1" fillId="0" borderId="79" xfId="0" applyNumberFormat="1" applyFont="1" applyBorder="1">
      <alignment vertical="top" wrapText="1"/>
    </xf>
    <xf numFmtId="49" fontId="1" fillId="0" borderId="80" xfId="0" applyNumberFormat="1" applyFont="1" applyBorder="1">
      <alignment vertical="top" wrapText="1"/>
    </xf>
    <xf numFmtId="49" fontId="1" fillId="0" borderId="3" xfId="0" applyNumberFormat="1" applyFont="1" applyBorder="1">
      <alignment vertical="top" wrapText="1"/>
    </xf>
    <xf numFmtId="0" fontId="1" fillId="0" borderId="3" xfId="0" applyFont="1" applyBorder="1">
      <alignment vertical="top" wrapText="1"/>
    </xf>
    <xf numFmtId="49" fontId="12" fillId="3" borderId="20" xfId="0" applyNumberFormat="1" applyFont="1" applyFill="1" applyBorder="1">
      <alignment vertical="top" wrapText="1"/>
    </xf>
    <xf numFmtId="0" fontId="12" fillId="0" borderId="20" xfId="0" applyFont="1" applyBorder="1">
      <alignment vertical="top" wrapText="1"/>
    </xf>
    <xf numFmtId="0" fontId="12" fillId="0" borderId="1" xfId="0" applyFont="1" applyBorder="1">
      <alignment vertical="top" wrapText="1"/>
    </xf>
    <xf numFmtId="0" fontId="22" fillId="29" borderId="28" xfId="0" applyFont="1" applyFill="1" applyBorder="1" applyAlignment="1" applyProtection="1">
      <alignment horizontal="center" vertical="top" wrapText="1" readingOrder="1"/>
      <protection hidden="1"/>
    </xf>
    <xf numFmtId="0" fontId="22" fillId="29" borderId="26" xfId="0" applyFont="1" applyFill="1" applyBorder="1" applyAlignment="1" applyProtection="1">
      <alignment horizontal="center" vertical="top" wrapText="1" readingOrder="1"/>
      <protection hidden="1"/>
    </xf>
    <xf numFmtId="0" fontId="0" fillId="0" borderId="26" xfId="0" applyBorder="1" applyAlignment="1">
      <alignment horizontal="center" vertical="top" wrapText="1" readingOrder="1"/>
    </xf>
    <xf numFmtId="49" fontId="150" fillId="5" borderId="6" xfId="0" applyNumberFormat="1" applyFont="1" applyFill="1" applyBorder="1" applyAlignment="1" applyProtection="1">
      <alignment horizontal="right" vertical="top" wrapText="1"/>
      <protection hidden="1"/>
    </xf>
    <xf numFmtId="2" fontId="7" fillId="3" borderId="1" xfId="0" applyNumberFormat="1" applyFont="1" applyFill="1" applyBorder="1" applyAlignment="1" applyProtection="1">
      <alignment horizontal="center" vertical="top" wrapText="1"/>
      <protection hidden="1"/>
    </xf>
    <xf numFmtId="2" fontId="7" fillId="2" borderId="1" xfId="0" applyNumberFormat="1" applyFont="1" applyFill="1" applyBorder="1" applyProtection="1">
      <alignment vertical="top" wrapText="1"/>
      <protection hidden="1"/>
    </xf>
    <xf numFmtId="165" fontId="7" fillId="25" borderId="25" xfId="0" applyNumberFormat="1" applyFont="1" applyFill="1" applyBorder="1" applyAlignment="1" applyProtection="1">
      <alignment horizontal="center" vertical="top" wrapText="1"/>
      <protection hidden="1"/>
    </xf>
    <xf numFmtId="165" fontId="7" fillId="25" borderId="28" xfId="0" applyNumberFormat="1" applyFont="1" applyFill="1" applyBorder="1" applyAlignment="1" applyProtection="1">
      <alignment horizontal="center" vertical="top" wrapText="1"/>
      <protection hidden="1"/>
    </xf>
    <xf numFmtId="165" fontId="7" fillId="25" borderId="26" xfId="0" applyNumberFormat="1" applyFont="1" applyFill="1" applyBorder="1" applyAlignment="1" applyProtection="1">
      <alignment horizontal="center" vertical="top" wrapText="1"/>
      <protection hidden="1"/>
    </xf>
    <xf numFmtId="49" fontId="6" fillId="3" borderId="25" xfId="0" applyNumberFormat="1" applyFont="1" applyFill="1" applyBorder="1" applyAlignment="1" applyProtection="1">
      <alignment horizontal="center" vertical="top" wrapText="1"/>
      <protection hidden="1"/>
    </xf>
    <xf numFmtId="49" fontId="6" fillId="3" borderId="28" xfId="0" applyNumberFormat="1" applyFont="1" applyFill="1" applyBorder="1" applyAlignment="1" applyProtection="1">
      <alignment horizontal="center" vertical="top" wrapText="1"/>
      <protection hidden="1"/>
    </xf>
    <xf numFmtId="49" fontId="6" fillId="3" borderId="26" xfId="0" applyNumberFormat="1" applyFont="1" applyFill="1" applyBorder="1" applyAlignment="1" applyProtection="1">
      <alignment horizontal="center" vertical="top" wrapText="1"/>
      <protection hidden="1"/>
    </xf>
    <xf numFmtId="169" fontId="7" fillId="20" borderId="25" xfId="0" applyNumberFormat="1" applyFont="1" applyFill="1" applyBorder="1" applyAlignment="1" applyProtection="1">
      <alignment horizontal="right" vertical="top" wrapText="1"/>
      <protection hidden="1"/>
    </xf>
    <xf numFmtId="169" fontId="7" fillId="20" borderId="28" xfId="0" applyNumberFormat="1" applyFont="1" applyFill="1" applyBorder="1" applyAlignment="1" applyProtection="1">
      <alignment horizontal="right" vertical="top" wrapText="1"/>
      <protection hidden="1"/>
    </xf>
    <xf numFmtId="169" fontId="7" fillId="20" borderId="26" xfId="0" applyNumberFormat="1" applyFont="1" applyFill="1" applyBorder="1" applyAlignment="1" applyProtection="1">
      <alignment horizontal="right" vertical="top" wrapText="1"/>
      <protection hidden="1"/>
    </xf>
    <xf numFmtId="169" fontId="7" fillId="19" borderId="149" xfId="0" applyNumberFormat="1" applyFont="1" applyFill="1" applyBorder="1" applyAlignment="1" applyProtection="1">
      <alignment horizontal="right" vertical="top" wrapText="1"/>
      <protection hidden="1"/>
    </xf>
    <xf numFmtId="169" fontId="7" fillId="19" borderId="150" xfId="0" applyNumberFormat="1" applyFont="1" applyFill="1" applyBorder="1" applyAlignment="1" applyProtection="1">
      <alignment horizontal="right" vertical="top" wrapText="1"/>
      <protection hidden="1"/>
    </xf>
    <xf numFmtId="169" fontId="7" fillId="19" borderId="151" xfId="0" applyNumberFormat="1" applyFont="1" applyFill="1" applyBorder="1" applyAlignment="1" applyProtection="1">
      <alignment horizontal="right" vertical="top" wrapText="1"/>
      <protection hidden="1"/>
    </xf>
    <xf numFmtId="49" fontId="12" fillId="19" borderId="42" xfId="0" applyNumberFormat="1" applyFont="1" applyFill="1" applyBorder="1" applyAlignment="1" applyProtection="1">
      <alignment horizontal="right" vertical="top" wrapText="1"/>
      <protection hidden="1"/>
    </xf>
    <xf numFmtId="49" fontId="12" fillId="19" borderId="43" xfId="0" applyNumberFormat="1" applyFont="1" applyFill="1" applyBorder="1" applyAlignment="1" applyProtection="1">
      <alignment horizontal="right" vertical="top" wrapText="1"/>
      <protection hidden="1"/>
    </xf>
    <xf numFmtId="49" fontId="12" fillId="19" borderId="41" xfId="0" applyNumberFormat="1" applyFont="1" applyFill="1" applyBorder="1" applyAlignment="1" applyProtection="1">
      <alignment horizontal="right" vertical="top" wrapText="1"/>
      <protection hidden="1"/>
    </xf>
    <xf numFmtId="0" fontId="49" fillId="13" borderId="42" xfId="0" quotePrefix="1" applyFont="1" applyFill="1" applyBorder="1" applyAlignment="1" applyProtection="1">
      <alignment horizontal="right" vertical="top" wrapText="1"/>
      <protection hidden="1"/>
    </xf>
    <xf numFmtId="0" fontId="49" fillId="13" borderId="43" xfId="0" quotePrefix="1" applyFont="1" applyFill="1" applyBorder="1" applyAlignment="1" applyProtection="1">
      <alignment horizontal="right" vertical="top" wrapText="1"/>
      <protection hidden="1"/>
    </xf>
    <xf numFmtId="0" fontId="49" fillId="13" borderId="41" xfId="0" quotePrefix="1" applyFont="1" applyFill="1" applyBorder="1" applyAlignment="1" applyProtection="1">
      <alignment horizontal="right" vertical="top" wrapText="1"/>
      <protection hidden="1"/>
    </xf>
    <xf numFmtId="49" fontId="12" fillId="20" borderId="25" xfId="0" applyNumberFormat="1" applyFont="1" applyFill="1" applyBorder="1" applyAlignment="1" applyProtection="1">
      <alignment horizontal="center" vertical="top" wrapText="1"/>
      <protection hidden="1"/>
    </xf>
    <xf numFmtId="49" fontId="12" fillId="20" borderId="26" xfId="0" applyNumberFormat="1" applyFont="1" applyFill="1" applyBorder="1" applyAlignment="1" applyProtection="1">
      <alignment horizontal="center" vertical="top" wrapText="1"/>
      <protection hidden="1"/>
    </xf>
    <xf numFmtId="171" fontId="12" fillId="13" borderId="39" xfId="0" applyNumberFormat="1" applyFont="1" applyFill="1" applyBorder="1" applyProtection="1">
      <alignment vertical="top" wrapText="1"/>
      <protection hidden="1"/>
    </xf>
    <xf numFmtId="171" fontId="12" fillId="13" borderId="51" xfId="0" applyNumberFormat="1" applyFont="1" applyFill="1" applyBorder="1" applyProtection="1">
      <alignment vertical="top" wrapText="1"/>
      <protection hidden="1"/>
    </xf>
    <xf numFmtId="0" fontId="12" fillId="30" borderId="46" xfId="0" applyFont="1" applyFill="1" applyBorder="1" applyAlignment="1" applyProtection="1">
      <alignment horizontal="right" vertical="top" wrapText="1"/>
      <protection hidden="1"/>
    </xf>
    <xf numFmtId="0" fontId="12" fillId="30" borderId="152" xfId="0" applyFont="1" applyFill="1" applyBorder="1" applyAlignment="1" applyProtection="1">
      <alignment horizontal="right" vertical="top" wrapText="1"/>
      <protection hidden="1"/>
    </xf>
    <xf numFmtId="49" fontId="6" fillId="28" borderId="25" xfId="0" applyNumberFormat="1" applyFont="1" applyFill="1" applyBorder="1" applyAlignment="1" applyProtection="1">
      <alignment horizontal="center" vertical="top" wrapText="1"/>
      <protection hidden="1"/>
    </xf>
    <xf numFmtId="49" fontId="6" fillId="28" borderId="26" xfId="0" applyNumberFormat="1" applyFont="1" applyFill="1" applyBorder="1" applyAlignment="1" applyProtection="1">
      <alignment horizontal="center" vertical="top" wrapText="1"/>
      <protection hidden="1"/>
    </xf>
    <xf numFmtId="49" fontId="7" fillId="19" borderId="44" xfId="0" applyNumberFormat="1" applyFont="1" applyFill="1" applyBorder="1" applyAlignment="1" applyProtection="1">
      <alignment horizontal="center" vertical="top" wrapText="1"/>
      <protection hidden="1"/>
    </xf>
    <xf numFmtId="49" fontId="7" fillId="19" borderId="46" xfId="0" applyNumberFormat="1" applyFont="1" applyFill="1" applyBorder="1" applyAlignment="1" applyProtection="1">
      <alignment horizontal="center" vertical="top" wrapText="1"/>
      <protection hidden="1"/>
    </xf>
    <xf numFmtId="49" fontId="7" fillId="19" borderId="6" xfId="0" applyNumberFormat="1" applyFont="1" applyFill="1" applyBorder="1" applyAlignment="1" applyProtection="1">
      <alignment horizontal="center" vertical="top" wrapText="1"/>
      <protection hidden="1"/>
    </xf>
    <xf numFmtId="49" fontId="7" fillId="19" borderId="52" xfId="0" applyNumberFormat="1" applyFont="1" applyFill="1" applyBorder="1" applyAlignment="1" applyProtection="1">
      <alignment horizontal="center" vertical="top" wrapText="1"/>
      <protection hidden="1"/>
    </xf>
    <xf numFmtId="0" fontId="0" fillId="0" borderId="44" xfId="0" applyNumberFormat="1" applyBorder="1" applyAlignment="1">
      <alignment horizontal="center" vertical="top" wrapText="1"/>
    </xf>
    <xf numFmtId="0" fontId="0" fillId="0" borderId="6" xfId="0" applyNumberFormat="1" applyBorder="1" applyAlignment="1">
      <alignment horizontal="center" vertical="top" wrapText="1"/>
    </xf>
    <xf numFmtId="0" fontId="116" fillId="0" borderId="117" xfId="0" applyNumberFormat="1" applyFont="1" applyBorder="1" applyAlignment="1">
      <alignment horizontal="center" vertical="top" wrapText="1"/>
    </xf>
    <xf numFmtId="0" fontId="116" fillId="0" borderId="118" xfId="0" applyNumberFormat="1" applyFont="1" applyBorder="1" applyAlignment="1">
      <alignment horizontal="center" vertical="top" wrapText="1"/>
    </xf>
    <xf numFmtId="0" fontId="116" fillId="0" borderId="119" xfId="0" applyNumberFormat="1" applyFont="1" applyBorder="1" applyAlignment="1">
      <alignment horizontal="center" vertical="top" wrapText="1"/>
    </xf>
    <xf numFmtId="2" fontId="102" fillId="0" borderId="49" xfId="0" applyNumberFormat="1" applyFont="1" applyBorder="1" applyAlignment="1">
      <alignment horizontal="left" vertical="top" wrapText="1"/>
    </xf>
    <xf numFmtId="2" fontId="102" fillId="0" borderId="46" xfId="0" applyNumberFormat="1" applyFont="1" applyBorder="1" applyAlignment="1">
      <alignment horizontal="left" vertical="top" wrapText="1"/>
    </xf>
    <xf numFmtId="2" fontId="102" fillId="0" borderId="48" xfId="0" applyNumberFormat="1" applyFont="1" applyBorder="1" applyAlignment="1">
      <alignment horizontal="left" vertical="top" wrapText="1"/>
    </xf>
    <xf numFmtId="2" fontId="102" fillId="0" borderId="47" xfId="0" applyNumberFormat="1" applyFont="1" applyBorder="1" applyAlignment="1">
      <alignment horizontal="left" vertical="top" wrapText="1"/>
    </xf>
    <xf numFmtId="171" fontId="53" fillId="13" borderId="42" xfId="0" applyNumberFormat="1" applyFont="1" applyFill="1" applyBorder="1" applyAlignment="1" applyProtection="1">
      <alignment horizontal="right" vertical="top" wrapText="1"/>
      <protection hidden="1"/>
    </xf>
    <xf numFmtId="171" fontId="53" fillId="13" borderId="43" xfId="0" applyNumberFormat="1" applyFont="1" applyFill="1" applyBorder="1" applyAlignment="1" applyProtection="1">
      <alignment horizontal="right" vertical="top" wrapText="1"/>
      <protection hidden="1"/>
    </xf>
    <xf numFmtId="171" fontId="53" fillId="13" borderId="41" xfId="0" applyNumberFormat="1" applyFont="1" applyFill="1" applyBorder="1" applyAlignment="1" applyProtection="1">
      <alignment horizontal="right" vertical="top" wrapText="1"/>
      <protection hidden="1"/>
    </xf>
    <xf numFmtId="2" fontId="12" fillId="5" borderId="21" xfId="0" applyNumberFormat="1" applyFont="1" applyFill="1" applyBorder="1" applyProtection="1">
      <alignment vertical="top" wrapText="1"/>
      <protection hidden="1"/>
    </xf>
  </cellXfs>
  <cellStyles count="1">
    <cellStyle name="Standard" xfId="0" builtinId="0"/>
  </cellStyles>
  <dxfs count="135">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C000"/>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color rgb="FF000000"/>
      </font>
      <fill>
        <patternFill patternType="solid">
          <fgColor indexed="30"/>
          <bgColor indexed="31"/>
        </patternFill>
      </fill>
    </dxf>
    <dxf>
      <font>
        <b/>
        <color rgb="FF000000"/>
      </font>
    </dxf>
    <dxf>
      <font>
        <color rgb="FF000000"/>
      </font>
      <fill>
        <patternFill patternType="solid">
          <fgColor indexed="30"/>
          <bgColor indexed="31"/>
        </patternFill>
      </fill>
    </dxf>
    <dxf>
      <fill>
        <patternFill>
          <bgColor rgb="FFCBCECE"/>
        </patternFill>
      </fill>
    </dxf>
    <dxf>
      <font>
        <b/>
        <color rgb="FF000000"/>
      </font>
    </dxf>
    <dxf>
      <fill>
        <patternFill>
          <bgColor rgb="FFCBCECE"/>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theme="2"/>
        </patternFill>
      </fill>
    </dxf>
    <dxf>
      <fill>
        <patternFill>
          <bgColor rgb="FFCBCECE"/>
        </patternFill>
      </fill>
    </dxf>
    <dxf>
      <font>
        <b/>
        <color rgb="FF000000"/>
      </font>
    </dxf>
    <dxf>
      <fill>
        <patternFill>
          <bgColor rgb="FFCBCECE"/>
        </patternFill>
      </fill>
    </dxf>
    <dxf>
      <fill>
        <patternFill>
          <bgColor theme="2"/>
        </patternFill>
      </fill>
    </dxf>
    <dxf>
      <fill>
        <patternFill>
          <bgColor theme="2"/>
        </patternFill>
      </fill>
    </dxf>
    <dxf>
      <fill>
        <patternFill>
          <bgColor theme="2"/>
        </patternFill>
      </fill>
    </dxf>
    <dxf>
      <fill>
        <patternFill>
          <bgColor rgb="FFCBCECE"/>
        </patternFill>
      </fill>
    </dxf>
    <dxf>
      <fill>
        <patternFill>
          <bgColor rgb="FFCBCECE"/>
        </patternFill>
      </fill>
    </dxf>
    <dxf>
      <fill>
        <patternFill>
          <bgColor rgb="FFCBCECE"/>
        </patternFill>
      </fill>
    </dxf>
    <dxf>
      <font>
        <b/>
        <color rgb="FF000000"/>
      </font>
    </dxf>
    <dxf>
      <fill>
        <patternFill>
          <bgColor rgb="FFCBCECE"/>
        </patternFill>
      </fill>
    </dxf>
  </dxfs>
  <tableStyles count="0"/>
  <colors>
    <indexedColors>
      <rgbColor rgb="FF000000"/>
      <rgbColor rgb="FFFFFFFF"/>
      <rgbColor rgb="FFFF0000"/>
      <rgbColor rgb="FF00FF00"/>
      <rgbColor rgb="FF0000FF"/>
      <rgbColor rgb="FFFFFF00"/>
      <rgbColor rgb="FFFF00FF"/>
      <rgbColor rgb="FF00FFFF"/>
      <rgbColor rgb="FF000000"/>
      <rgbColor rgb="FFA5A5A5"/>
      <rgbColor rgb="FF004C7F"/>
      <rgbColor rgb="FFBDC0BF"/>
      <rgbColor rgb="FFD5D5D5"/>
      <rgbColor rgb="FFFEFFFE"/>
      <rgbColor rgb="FF919191"/>
      <rgbColor rgb="FFEAEAEA"/>
      <rgbColor rgb="FFC6C6C6"/>
      <rgbColor rgb="FFC0C0C0"/>
      <rgbColor rgb="FF040C27"/>
      <rgbColor rgb="FF009192"/>
      <rgbColor rgb="FF0075B9"/>
      <rgbColor rgb="FF008F51"/>
      <rgbColor rgb="FF3F3F3F"/>
      <rgbColor rgb="FFDBDBDB"/>
      <rgbColor rgb="FF008E00"/>
      <rgbColor rgb="FF727272"/>
      <rgbColor rgb="00000000"/>
      <rgbColor rgb="FF017000"/>
      <rgbColor rgb="FFD8D8D8"/>
      <rgbColor rgb="FFA9A9A9"/>
      <rgbColor rgb="FFABABAB"/>
      <rgbColor rgb="FF3F799F"/>
      <rgbColor rgb="FFA5C0D2"/>
      <rgbColor rgb="E5AFE489"/>
      <rgbColor rgb="FFADADAD"/>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EC0BF"/>
      <color rgb="FF919191"/>
      <color rgb="FFE5E5E5"/>
      <color rgb="FF3E79A0"/>
      <color rgb="FFD5D5D5"/>
      <color rgb="FF45A921"/>
      <color rgb="FFFFEB84"/>
      <color rgb="FF008F51"/>
      <color rgb="FF0033C2"/>
      <color rgb="FFEEF6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22/10/relationships/richValueRel" Target="richData/richValueRel.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9</xdr:col>
      <xdr:colOff>508000</xdr:colOff>
      <xdr:row>0</xdr:row>
      <xdr:rowOff>0</xdr:rowOff>
    </xdr:from>
    <xdr:to>
      <xdr:col>16</xdr:col>
      <xdr:colOff>673100</xdr:colOff>
      <xdr:row>0</xdr:row>
      <xdr:rowOff>256417</xdr:rowOff>
    </xdr:to>
    <xdr:sp macro="" textlink="">
      <xdr:nvSpPr>
        <xdr:cNvPr id="2" name="Lieber Nutzer,…">
          <a:extLst>
            <a:ext uri="{FF2B5EF4-FFF2-40B4-BE49-F238E27FC236}">
              <a16:creationId xmlns:a16="http://schemas.microsoft.com/office/drawing/2014/main" id="{00000000-0008-0000-0000-000002000000}"/>
            </a:ext>
          </a:extLst>
        </xdr:cNvPr>
        <xdr:cNvSpPr txBox="1"/>
      </xdr:nvSpPr>
      <xdr:spPr>
        <a:xfrm>
          <a:off x="11836400" y="0"/>
          <a:ext cx="8877300" cy="256417"/>
        </a:xfrm>
        <a:prstGeom prst="rect">
          <a:avLst/>
        </a:prstGeom>
        <a:noFill/>
        <a:ln w="12700" cap="flat">
          <a:noFill/>
          <a:miter lim="400000"/>
        </a:ln>
        <a:effectLst/>
        <a:extLst>
          <a:ext uri="{C572A759-6A51-4108-AA02-DFA0A04FC94B}">
            <ma14:wrappingTextBoxFlag xmlns="" xmlns:r="http://schemas.openxmlformats.org/officeDocument/2006/relationships" xmlns:m="http://schemas.openxmlformats.org/officeDocument/2006/math" xmlns:a14="http://schemas.microsoft.com/office/drawing/2010/main" xmlns:ma14="http://schemas.microsoft.com/office/mac/drawingml/2011/main" val="1"/>
          </a:ext>
        </a:extLst>
      </xdr:spPr>
      <xdr:txBody>
        <a:bodyPr wrap="square" lIns="50800" tIns="50800" rIns="50800" bIns="50800" numCol="1" anchor="t">
          <a:spAutoFit/>
        </a:bodyPr>
        <a:lstStyle/>
        <a:p>
          <a:pPr marL="0" marR="0" indent="0" algn="just" defTabSz="457200" latinLnBrk="0">
            <a:lnSpc>
              <a:spcPct val="100000"/>
            </a:lnSpc>
            <a:spcBef>
              <a:spcPts val="0"/>
            </a:spcBef>
            <a:spcAft>
              <a:spcPts val="0"/>
            </a:spcAft>
            <a:buClrTx/>
            <a:buSzTx/>
            <a:buFontTx/>
            <a:buNone/>
            <a:defRPr sz="1200" b="0" i="0" u="none" strike="noStrike" cap="none" spc="0" baseline="0">
              <a:solidFill>
                <a:srgbClr val="000000"/>
              </a:solidFill>
              <a:uFillTx/>
              <a:latin typeface="+mn-lt"/>
              <a:ea typeface="+mn-ea"/>
              <a:cs typeface="+mn-cs"/>
              <a:sym typeface="Helvetica Neue"/>
            </a:defRPr>
          </a:pPr>
          <a:endParaRPr sz="1200" b="0" i="0" u="none" strike="noStrike" cap="none" spc="0" baseline="0">
            <a:solidFill>
              <a:srgbClr val="000000"/>
            </a:solidFill>
            <a:uFillTx/>
            <a:latin typeface="Helvetica"/>
            <a:ea typeface="Helvetica"/>
            <a:cs typeface="Helvetica"/>
            <a:sym typeface="Helvetica"/>
          </a:endParaRPr>
        </a:p>
      </xdr:txBody>
    </xdr:sp>
    <xdr:clientData/>
  </xdr:twoCellAnchor>
  <xdr:twoCellAnchor>
    <xdr:from>
      <xdr:col>10</xdr:col>
      <xdr:colOff>127000</xdr:colOff>
      <xdr:row>3</xdr:row>
      <xdr:rowOff>228599</xdr:rowOff>
    </xdr:from>
    <xdr:to>
      <xdr:col>17</xdr:col>
      <xdr:colOff>50800</xdr:colOff>
      <xdr:row>5</xdr:row>
      <xdr:rowOff>190500</xdr:rowOff>
    </xdr:to>
    <xdr:sp macro="" textlink="">
      <xdr:nvSpPr>
        <xdr:cNvPr id="3" name="Anleitung:…">
          <a:extLst>
            <a:ext uri="{FF2B5EF4-FFF2-40B4-BE49-F238E27FC236}">
              <a16:creationId xmlns:a16="http://schemas.microsoft.com/office/drawing/2014/main" id="{00000000-0008-0000-0000-000003000000}"/>
            </a:ext>
          </a:extLst>
        </xdr:cNvPr>
        <xdr:cNvSpPr txBox="1"/>
      </xdr:nvSpPr>
      <xdr:spPr>
        <a:xfrm>
          <a:off x="12700000" y="2285999"/>
          <a:ext cx="8636000" cy="10350501"/>
        </a:xfrm>
        <a:prstGeom prst="rect">
          <a:avLst/>
        </a:prstGeom>
        <a:noFill/>
        <a:ln w="12700" cap="flat">
          <a:noFill/>
          <a:miter lim="400000"/>
        </a:ln>
        <a:effectLst/>
        <a:extLst>
          <a:ext uri="{C572A759-6A51-4108-AA02-DFA0A04FC94B}">
            <ma14:wrappingTextBoxFlag xmlns="" xmlns:r="http://schemas.openxmlformats.org/officeDocument/2006/relationships" xmlns:m="http://schemas.openxmlformats.org/officeDocument/2006/math" xmlns:a14="http://schemas.microsoft.com/office/drawing/2010/main" xmlns:ma14="http://schemas.microsoft.com/office/mac/drawingml/2011/main" val="1"/>
          </a:ext>
        </a:extLst>
      </xdr:spPr>
      <xdr:txBody>
        <a:bodyPr wrap="square" lIns="50800" tIns="50800" rIns="50800" bIns="50800" numCol="1" anchor="t">
          <a:noAutofit/>
        </a:bodyPr>
        <a:lstStyle/>
        <a:p>
          <a:pPr marL="0" marR="0" indent="0" algn="just" defTabSz="457200" latinLnBrk="0">
            <a:lnSpc>
              <a:spcPct val="100000"/>
            </a:lnSpc>
            <a:spcBef>
              <a:spcPts val="0"/>
            </a:spcBef>
            <a:spcAft>
              <a:spcPts val="0"/>
            </a:spcAft>
            <a:buClrTx/>
            <a:buSzTx/>
            <a:buFontTx/>
            <a:buNone/>
            <a:defRPr sz="1200" b="0" i="0" u="none" strike="noStrike" cap="none" spc="0" baseline="0">
              <a:solidFill>
                <a:srgbClr val="000000"/>
              </a:solidFill>
              <a:uFillTx/>
              <a:latin typeface="Helvetica"/>
              <a:ea typeface="Helvetica"/>
              <a:cs typeface="Helvetica"/>
              <a:sym typeface="Helvetica"/>
            </a:defRPr>
          </a:pPr>
          <a:endParaRPr sz="1200" b="0" i="0" u="none" strike="noStrike" cap="none" spc="0" baseline="0">
            <a:solidFill>
              <a:srgbClr val="000000"/>
            </a:solidFill>
            <a:uFillTx/>
            <a:latin typeface="Helvetica"/>
            <a:ea typeface="Helvetica"/>
            <a:cs typeface="Helvetica"/>
            <a:sym typeface="Helvetic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584201</xdr:colOff>
      <xdr:row>0</xdr:row>
      <xdr:rowOff>182264</xdr:rowOff>
    </xdr:from>
    <xdr:to>
      <xdr:col>18</xdr:col>
      <xdr:colOff>190500</xdr:colOff>
      <xdr:row>1</xdr:row>
      <xdr:rowOff>254000</xdr:rowOff>
    </xdr:to>
    <xdr:sp macro="" textlink="">
      <xdr:nvSpPr>
        <xdr:cNvPr id="7" name="Stufe gem. § 4 VBVG: C5…">
          <a:extLst>
            <a:ext uri="{FF2B5EF4-FFF2-40B4-BE49-F238E27FC236}">
              <a16:creationId xmlns:a16="http://schemas.microsoft.com/office/drawing/2014/main" id="{00000000-0008-0000-0200-000007000000}"/>
            </a:ext>
          </a:extLst>
        </xdr:cNvPr>
        <xdr:cNvSpPr txBox="1"/>
      </xdr:nvSpPr>
      <xdr:spPr>
        <a:xfrm>
          <a:off x="7937501" y="182264"/>
          <a:ext cx="1181099" cy="376536"/>
        </a:xfrm>
        <a:prstGeom prst="rect">
          <a:avLst/>
        </a:prstGeom>
        <a:noFill/>
        <a:ln w="12700" cap="flat">
          <a:noFill/>
          <a:miter lim="400000"/>
        </a:ln>
        <a:effectLst/>
        <a:extLst>
          <a:ext uri="{C572A759-6A51-4108-AA02-DFA0A04FC94B}">
            <ma14:wrappingTextBoxFlag xmlns="" xmlns:r="http://schemas.openxmlformats.org/officeDocument/2006/relationships" xmlns:m="http://schemas.openxmlformats.org/officeDocument/2006/math" xmlns:a14="http://schemas.microsoft.com/office/drawing/2010/main" xmlns:ma14="http://schemas.microsoft.com/office/mac/drawingml/2011/main" val="1"/>
          </a:ext>
        </a:extLst>
      </xdr:spPr>
      <xdr:txBody>
        <a:bodyPr wrap="square" lIns="50800" tIns="50800" rIns="50800" bIns="50800" numCol="1" anchor="t">
          <a:noAutofit/>
        </a:bodyPr>
        <a:lstStyle/>
        <a:p>
          <a:pPr marL="0" marR="0" indent="0" algn="l" defTabSz="450215" rtl="0" latinLnBrk="0">
            <a:lnSpc>
              <a:spcPct val="100000"/>
            </a:lnSpc>
            <a:spcBef>
              <a:spcPts val="0"/>
            </a:spcBef>
            <a:spcAft>
              <a:spcPts val="0"/>
            </a:spcAft>
            <a:buClrTx/>
            <a:buSzTx/>
            <a:buFontTx/>
            <a:buNone/>
            <a:defRPr sz="1100" b="0" i="0" u="none" strike="noStrike" cap="none" spc="0" baseline="0">
              <a:solidFill>
                <a:srgbClr val="000000"/>
              </a:solidFill>
              <a:uFillTx/>
              <a:latin typeface="Arial"/>
              <a:ea typeface="Arial"/>
              <a:cs typeface="Arial"/>
              <a:sym typeface="Arial"/>
            </a:defRPr>
          </a:pPr>
          <a:r>
            <a:rPr sz="1100" b="0" i="0" u="none" strike="noStrike" cap="none" spc="0" baseline="0">
              <a:solidFill>
                <a:srgbClr val="000000"/>
              </a:solidFill>
              <a:uFillTx/>
              <a:latin typeface="Arial"/>
              <a:ea typeface="Arial"/>
              <a:cs typeface="Arial"/>
              <a:sym typeface="Arial"/>
            </a:rPr>
            <a:t>Stufe gem. § 4 VBVG: C5</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647701</xdr:colOff>
      <xdr:row>0</xdr:row>
      <xdr:rowOff>194300</xdr:rowOff>
    </xdr:from>
    <xdr:to>
      <xdr:col>18</xdr:col>
      <xdr:colOff>203201</xdr:colOff>
      <xdr:row>1</xdr:row>
      <xdr:rowOff>316540</xdr:rowOff>
    </xdr:to>
    <xdr:sp macro="" textlink="">
      <xdr:nvSpPr>
        <xdr:cNvPr id="2" name="Stufe gem. § 4 VBVG: C5…">
          <a:extLst>
            <a:ext uri="{FF2B5EF4-FFF2-40B4-BE49-F238E27FC236}">
              <a16:creationId xmlns:a16="http://schemas.microsoft.com/office/drawing/2014/main" id="{00000000-0008-0000-0300-000002000000}"/>
            </a:ext>
          </a:extLst>
        </xdr:cNvPr>
        <xdr:cNvSpPr txBox="1"/>
      </xdr:nvSpPr>
      <xdr:spPr>
        <a:xfrm>
          <a:off x="7810501" y="194300"/>
          <a:ext cx="1143000" cy="427040"/>
        </a:xfrm>
        <a:prstGeom prst="rect">
          <a:avLst/>
        </a:prstGeom>
        <a:noFill/>
        <a:ln w="12700" cap="flat">
          <a:noFill/>
          <a:miter lim="400000"/>
        </a:ln>
        <a:effectLst/>
        <a:extLst>
          <a:ext uri="{C572A759-6A51-4108-AA02-DFA0A04FC94B}">
            <ma14:wrappingTextBoxFlag xmlns="" xmlns:r="http://schemas.openxmlformats.org/officeDocument/2006/relationships" xmlns:m="http://schemas.openxmlformats.org/officeDocument/2006/math" xmlns:a14="http://schemas.microsoft.com/office/drawing/2010/main" xmlns:ma14="http://schemas.microsoft.com/office/mac/drawingml/2011/main" val="1"/>
          </a:ext>
        </a:extLst>
      </xdr:spPr>
      <xdr:txBody>
        <a:bodyPr wrap="square" lIns="50800" tIns="50800" rIns="50800" bIns="50800" numCol="1" anchor="t">
          <a:spAutoFit/>
        </a:bodyPr>
        <a:lstStyle/>
        <a:p>
          <a:pPr marL="0" marR="0" indent="0" algn="l" defTabSz="450215" rtl="0" latinLnBrk="0">
            <a:lnSpc>
              <a:spcPct val="100000"/>
            </a:lnSpc>
            <a:spcBef>
              <a:spcPts val="0"/>
            </a:spcBef>
            <a:spcAft>
              <a:spcPts val="0"/>
            </a:spcAft>
            <a:buClrTx/>
            <a:buSzTx/>
            <a:buFontTx/>
            <a:buNone/>
            <a:defRPr sz="1100" b="0" i="0" u="none" strike="noStrike" cap="none" spc="0" baseline="0">
              <a:solidFill>
                <a:srgbClr val="000000"/>
              </a:solidFill>
              <a:uFillTx/>
              <a:latin typeface="Arial"/>
              <a:ea typeface="Arial"/>
              <a:cs typeface="Arial"/>
              <a:sym typeface="Arial"/>
            </a:defRPr>
          </a:pPr>
          <a:r>
            <a:rPr sz="1100" b="0" i="0" u="none" strike="noStrike" cap="none" spc="0" baseline="0">
              <a:solidFill>
                <a:srgbClr val="000000"/>
              </a:solidFill>
              <a:uFillTx/>
              <a:latin typeface="Arial"/>
              <a:ea typeface="Arial"/>
              <a:cs typeface="Arial"/>
              <a:sym typeface="Arial"/>
            </a:rPr>
            <a:t>Stufe gem. § 4 VBVG: C5</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1</xdr:colOff>
      <xdr:row>0</xdr:row>
      <xdr:rowOff>207000</xdr:rowOff>
    </xdr:from>
    <xdr:to>
      <xdr:col>18</xdr:col>
      <xdr:colOff>292101</xdr:colOff>
      <xdr:row>1</xdr:row>
      <xdr:rowOff>329240</xdr:rowOff>
    </xdr:to>
    <xdr:sp macro="" textlink="">
      <xdr:nvSpPr>
        <xdr:cNvPr id="11" name="Stufe gem. § 4 VBVG: C5…">
          <a:extLst>
            <a:ext uri="{FF2B5EF4-FFF2-40B4-BE49-F238E27FC236}">
              <a16:creationId xmlns:a16="http://schemas.microsoft.com/office/drawing/2014/main" id="{00000000-0008-0000-0400-00000B000000}"/>
            </a:ext>
          </a:extLst>
        </xdr:cNvPr>
        <xdr:cNvSpPr txBox="1"/>
      </xdr:nvSpPr>
      <xdr:spPr>
        <a:xfrm>
          <a:off x="7975601" y="207000"/>
          <a:ext cx="1231900" cy="427040"/>
        </a:xfrm>
        <a:prstGeom prst="rect">
          <a:avLst/>
        </a:prstGeom>
        <a:noFill/>
        <a:ln w="12700" cap="flat">
          <a:noFill/>
          <a:miter lim="400000"/>
        </a:ln>
        <a:effectLst/>
        <a:extLst>
          <a:ext uri="{C572A759-6A51-4108-AA02-DFA0A04FC94B}">
            <ma14:wrappingTextBoxFlag xmlns="" xmlns:r="http://schemas.openxmlformats.org/officeDocument/2006/relationships" xmlns:m="http://schemas.openxmlformats.org/officeDocument/2006/math" xmlns:a14="http://schemas.microsoft.com/office/drawing/2010/main" xmlns:ma14="http://schemas.microsoft.com/office/mac/drawingml/2011/main" val="1"/>
          </a:ext>
        </a:extLst>
      </xdr:spPr>
      <xdr:txBody>
        <a:bodyPr wrap="square" lIns="50800" tIns="50800" rIns="50800" bIns="50800" numCol="1" anchor="t">
          <a:spAutoFit/>
        </a:bodyPr>
        <a:lstStyle/>
        <a:p>
          <a:pPr marL="0" marR="0" indent="0" algn="l" defTabSz="450215" rtl="0" latinLnBrk="0">
            <a:lnSpc>
              <a:spcPct val="100000"/>
            </a:lnSpc>
            <a:spcBef>
              <a:spcPts val="0"/>
            </a:spcBef>
            <a:spcAft>
              <a:spcPts val="0"/>
            </a:spcAft>
            <a:buClrTx/>
            <a:buSzTx/>
            <a:buFontTx/>
            <a:buNone/>
            <a:defRPr sz="1100" b="0" i="0" u="none" strike="noStrike" cap="none" spc="0" baseline="0">
              <a:solidFill>
                <a:srgbClr val="000000"/>
              </a:solidFill>
              <a:uFillTx/>
              <a:latin typeface="Arial"/>
              <a:ea typeface="Arial"/>
              <a:cs typeface="Arial"/>
              <a:sym typeface="Arial"/>
            </a:defRPr>
          </a:pPr>
          <a:r>
            <a:rPr sz="1100" b="0" i="0" u="none" strike="noStrike" cap="none" spc="0" baseline="0">
              <a:solidFill>
                <a:srgbClr val="000000"/>
              </a:solidFill>
              <a:uFillTx/>
              <a:latin typeface="Arial"/>
              <a:ea typeface="Arial"/>
              <a:cs typeface="Arial"/>
              <a:sym typeface="Arial"/>
            </a:rPr>
            <a:t>Stufe gem. § 4 VBVG: C5</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40</xdr:row>
      <xdr:rowOff>176795</xdr:rowOff>
    </xdr:from>
    <xdr:to>
      <xdr:col>7</xdr:col>
      <xdr:colOff>38100</xdr:colOff>
      <xdr:row>42</xdr:row>
      <xdr:rowOff>1257300</xdr:rowOff>
    </xdr:to>
    <xdr:sp macro="" textlink="">
      <xdr:nvSpPr>
        <xdr:cNvPr id="13" name="Lieber Nutzer,…">
          <a:extLst>
            <a:ext uri="{FF2B5EF4-FFF2-40B4-BE49-F238E27FC236}">
              <a16:creationId xmlns:a16="http://schemas.microsoft.com/office/drawing/2014/main" id="{00000000-0008-0000-0500-00000D000000}"/>
            </a:ext>
          </a:extLst>
        </xdr:cNvPr>
        <xdr:cNvSpPr txBox="1"/>
      </xdr:nvSpPr>
      <xdr:spPr>
        <a:xfrm>
          <a:off x="0" y="11162295"/>
          <a:ext cx="8750300" cy="2731505"/>
        </a:xfrm>
        <a:prstGeom prst="rect">
          <a:avLst/>
        </a:prstGeom>
        <a:noFill/>
        <a:ln w="12700" cap="flat">
          <a:noFill/>
          <a:miter lim="400000"/>
        </a:ln>
        <a:effectLst/>
        <a:extLst>
          <a:ext uri="{C572A759-6A51-4108-AA02-DFA0A04FC94B}">
            <ma14:wrappingTextBoxFlag xmlns="" xmlns:r="http://schemas.openxmlformats.org/officeDocument/2006/relationships" xmlns:m="http://schemas.openxmlformats.org/officeDocument/2006/math" xmlns:a14="http://schemas.microsoft.com/office/drawing/2010/main" xmlns:ma14="http://schemas.microsoft.com/office/mac/drawingml/2011/main" val="1"/>
          </a:ext>
        </a:extLst>
      </xdr:spPr>
      <xdr:txBody>
        <a:bodyPr wrap="square" lIns="50800" tIns="50800" rIns="50800" bIns="50800" numCol="1" anchor="t">
          <a:noAutofit/>
        </a:bodyPr>
        <a:lstStyle/>
        <a:p>
          <a:pPr marL="0" marR="0" indent="0" algn="just" defTabSz="457200" latinLnBrk="0">
            <a:lnSpc>
              <a:spcPct val="100000"/>
            </a:lnSpc>
            <a:spcBef>
              <a:spcPts val="0"/>
            </a:spcBef>
            <a:spcAft>
              <a:spcPts val="0"/>
            </a:spcAft>
            <a:buClrTx/>
            <a:buSzTx/>
            <a:buFontTx/>
            <a:buNone/>
            <a:defRPr sz="1200" b="0" i="0" u="none" strike="noStrike" cap="none" spc="0" baseline="0">
              <a:solidFill>
                <a:srgbClr val="000000"/>
              </a:solidFill>
              <a:uFillTx/>
              <a:latin typeface="+mn-lt"/>
              <a:ea typeface="+mn-ea"/>
              <a:cs typeface="+mn-cs"/>
              <a:sym typeface="Helvetica Neue"/>
            </a:defRPr>
          </a:pPr>
          <a:r>
            <a:rPr lang="de-DE" sz="1600" b="0" i="0" u="none" strike="noStrike" cap="none" baseline="0">
              <a:effectLst/>
              <a:latin typeface="+mn-lt"/>
              <a:ea typeface="+mn-ea"/>
              <a:cs typeface="+mn-cs"/>
              <a:sym typeface="Helvetica Neue"/>
            </a:rPr>
            <a:t>Vorschläge und Hinweise? Immer her damit: </a:t>
          </a:r>
          <a:r>
            <a:rPr lang="de-DE" sz="1600" b="0" i="0" u="none" strike="noStrike" cap="none" baseline="0">
              <a:latin typeface="+mn-lt"/>
              <a:ea typeface="+mn-ea"/>
              <a:cs typeface="+mn-cs"/>
              <a:sym typeface="Helvetica Neue"/>
            </a:rPr>
            <a:t> </a:t>
          </a:r>
          <a:r>
            <a:rPr lang="de-DE" sz="1600" b="0" i="0" u="sng" strike="noStrike" cap="none" baseline="0">
              <a:effectLst/>
              <a:latin typeface="+mn-lt"/>
              <a:ea typeface="+mn-ea"/>
              <a:cs typeface="+mn-cs"/>
              <a:sym typeface="Helvetica Neue"/>
              <a:hlinkClick xmlns:r="http://schemas.openxmlformats.org/officeDocument/2006/relationships" r:id=""/>
            </a:rPr>
            <a:t>info@der-betreuungsbro.de</a:t>
          </a:r>
          <a:r>
            <a:rPr lang="de-DE" sz="1600" b="0" i="0" u="none" strike="noStrike" cap="none" baseline="0">
              <a:latin typeface="+mn-lt"/>
              <a:ea typeface="+mn-ea"/>
              <a:cs typeface="+mn-cs"/>
              <a:sym typeface="Helvetica Neue"/>
            </a:rPr>
            <a:t> </a:t>
          </a:r>
          <a:r>
            <a:rPr lang="de-DE" sz="1600" b="0" i="0" u="none" strike="noStrike" cap="none" baseline="0">
              <a:effectLst/>
              <a:latin typeface="+mn-lt"/>
              <a:ea typeface="+mn-ea"/>
              <a:cs typeface="+mn-cs"/>
              <a:sym typeface="Helvetica Neue"/>
            </a:rPr>
            <a:t> </a:t>
          </a:r>
          <a:r>
            <a:rPr lang="de-DE" sz="1600" b="0" i="0" u="none" strike="noStrike" cap="none" baseline="0">
              <a:latin typeface="+mn-lt"/>
              <a:ea typeface="+mn-ea"/>
              <a:cs typeface="+mn-cs"/>
              <a:sym typeface="Helvetica Neue"/>
            </a:rPr>
            <a:t> </a:t>
          </a:r>
          <a:r>
            <a:rPr lang="de-DE" sz="1600" b="0" i="0" u="none" strike="noStrike" cap="none" baseline="0">
              <a:effectLst/>
              <a:latin typeface="+mn-lt"/>
              <a:ea typeface="+mn-ea"/>
              <a:cs typeface="+mn-cs"/>
              <a:sym typeface="Helvetica Neue"/>
            </a:rPr>
            <a:t>Meine Webseite ist erreichbar unter:</a:t>
          </a:r>
          <a:r>
            <a:rPr lang="de-DE" sz="1600" b="0" i="0" u="none" strike="noStrike" cap="none" baseline="0">
              <a:latin typeface="+mn-lt"/>
              <a:ea typeface="+mn-ea"/>
              <a:cs typeface="+mn-cs"/>
              <a:sym typeface="Helvetica Neue"/>
            </a:rPr>
            <a:t> </a:t>
          </a:r>
          <a:r>
            <a:rPr lang="de-DE" sz="1600" b="0" i="0" u="sng" strike="noStrike" cap="none" baseline="0">
              <a:effectLst/>
              <a:latin typeface="+mn-lt"/>
              <a:ea typeface="+mn-ea"/>
              <a:cs typeface="+mn-cs"/>
              <a:sym typeface="Helvetica Neue"/>
              <a:hlinkClick xmlns:r="http://schemas.openxmlformats.org/officeDocument/2006/relationships" r:id=""/>
            </a:rPr>
            <a:t>www.der-bertreuungsbro.de</a:t>
          </a:r>
          <a:r>
            <a:rPr lang="de-DE" sz="1600" b="0" i="0" u="none" strike="noStrike" cap="none" baseline="0">
              <a:latin typeface="+mn-lt"/>
              <a:ea typeface="+mn-ea"/>
              <a:cs typeface="+mn-cs"/>
              <a:sym typeface="Helvetica Neue"/>
            </a:rPr>
            <a:t> </a:t>
          </a:r>
        </a:p>
        <a:p>
          <a:pPr marL="0" marR="0" indent="0" algn="just" defTabSz="457200" latinLnBrk="0">
            <a:lnSpc>
              <a:spcPct val="100000"/>
            </a:lnSpc>
            <a:spcBef>
              <a:spcPts val="0"/>
            </a:spcBef>
            <a:spcAft>
              <a:spcPts val="0"/>
            </a:spcAft>
            <a:buClrTx/>
            <a:buSzTx/>
            <a:buFontTx/>
            <a:buNone/>
            <a:defRPr sz="1200" b="0" i="0" u="none" strike="noStrike" cap="none" spc="0" baseline="0">
              <a:solidFill>
                <a:srgbClr val="000000"/>
              </a:solidFill>
              <a:uFillTx/>
              <a:latin typeface="+mn-lt"/>
              <a:ea typeface="+mn-ea"/>
              <a:cs typeface="+mn-cs"/>
              <a:sym typeface="Helvetica Neue"/>
            </a:defRPr>
          </a:pPr>
          <a:endParaRPr lang="de-DE" sz="1600" b="0" i="0" u="none" strike="noStrike" cap="none" spc="0" baseline="0">
            <a:solidFill>
              <a:srgbClr val="000000"/>
            </a:solidFill>
            <a:uFillTx/>
            <a:latin typeface="+mn-lt"/>
            <a:ea typeface="+mn-ea"/>
            <a:cs typeface="+mn-cs"/>
            <a:sym typeface="Helvetica Neue"/>
          </a:endParaRPr>
        </a:p>
        <a:p>
          <a:pPr marL="0" marR="0" indent="0" algn="just" defTabSz="457200" latinLnBrk="0">
            <a:lnSpc>
              <a:spcPct val="100000"/>
            </a:lnSpc>
            <a:spcBef>
              <a:spcPts val="0"/>
            </a:spcBef>
            <a:spcAft>
              <a:spcPts val="0"/>
            </a:spcAft>
            <a:buClrTx/>
            <a:buSzTx/>
            <a:buFontTx/>
            <a:buNone/>
            <a:defRPr sz="1200" b="0" i="0" u="none" strike="noStrike" cap="none" spc="0" baseline="0">
              <a:solidFill>
                <a:srgbClr val="000000"/>
              </a:solidFill>
              <a:uFillTx/>
              <a:latin typeface="+mn-lt"/>
              <a:ea typeface="+mn-ea"/>
              <a:cs typeface="+mn-cs"/>
              <a:sym typeface="Helvetica Neue"/>
            </a:defRPr>
          </a:pPr>
          <a:endParaRPr sz="1600" b="0" i="0" u="none" strike="noStrike" cap="none" spc="0" baseline="0">
            <a:solidFill>
              <a:srgbClr val="000000"/>
            </a:solidFill>
            <a:uFillTx/>
            <a:latin typeface="Helvetica"/>
            <a:ea typeface="Helvetica"/>
            <a:cs typeface="Helvetica"/>
            <a:sym typeface="Helvetica"/>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45</xdr:col>
          <xdr:colOff>635000</xdr:colOff>
          <xdr:row>7</xdr:row>
          <xdr:rowOff>63500</xdr:rowOff>
        </xdr:from>
        <xdr:to>
          <xdr:col>47</xdr:col>
          <xdr:colOff>508000</xdr:colOff>
          <xdr:row>7</xdr:row>
          <xdr:rowOff>381000</xdr:rowOff>
        </xdr:to>
        <xdr:sp macro="" textlink="">
          <xdr:nvSpPr>
            <xdr:cNvPr id="7174" name="Button 6" hidden="1">
              <a:extLst>
                <a:ext uri="{63B3BB69-23CF-44E3-9099-C40C66FF867C}">
                  <a14:compatExt spid="_x0000_s7174"/>
                </a:ext>
                <a:ext uri="{FF2B5EF4-FFF2-40B4-BE49-F238E27FC236}">
                  <a16:creationId xmlns:a16="http://schemas.microsoft.com/office/drawing/2014/main" id="{00000000-0008-0000-0600-0000061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DE" sz="1200" b="0" i="0" u="none" strike="noStrike" baseline="0">
                  <a:solidFill>
                    <a:srgbClr val="000000"/>
                  </a:solidFill>
                  <a:latin typeface="Aptos Narrow" charset="0"/>
                </a:rPr>
                <a:t>Klienten in Liste anzeigen</a:t>
              </a:r>
            </a:p>
            <a:p>
              <a:pPr algn="ctr" rtl="0">
                <a:defRPr sz="1000"/>
              </a:pPr>
              <a:endParaRPr lang="de-DE" sz="1200" b="0" i="0" u="none" strike="noStrike" baseline="0">
                <a:solidFill>
                  <a:srgbClr val="000000"/>
                </a:solidFill>
                <a:latin typeface="Aptos Narrow" charset="0"/>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marcoringens/Library/Group%20Containers/UBF8T346G9.Office/User%20Content.localized/Startup.localized/Excel/PERSONAL.XLSB" TargetMode="External"/><Relationship Id="rId1" Type="http://schemas.microsoft.com/office/2006/relationships/xlExternalLinkPath/xlStartup" Target="PERSONAL.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elle1"/>
    </sheetNames>
    <definedNames>
      <definedName name="SucheUndGeheZuZelle"/>
    </definedNames>
    <sheetDataSet>
      <sheetData sheetId="0"/>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0</v>
    <v>4</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R87"/>
  <sheetViews>
    <sheetView showGridLines="0" topLeftCell="A42" workbookViewId="0">
      <selection activeCell="A4" sqref="A4:G42"/>
    </sheetView>
  </sheetViews>
  <sheetFormatPr baseColWidth="10" defaultColWidth="16.33203125" defaultRowHeight="20" customHeight="1"/>
  <cols>
    <col min="1" max="1" width="100" style="44" customWidth="1"/>
    <col min="2" max="2" width="16.33203125" style="43" customWidth="1"/>
    <col min="3" max="3" width="8.83203125" style="43" customWidth="1"/>
    <col min="4" max="4" width="16.33203125" style="43" hidden="1" customWidth="1"/>
    <col min="5" max="5" width="4.33203125" style="43" hidden="1" customWidth="1"/>
    <col min="6" max="6" width="39.1640625" style="43" customWidth="1"/>
    <col min="7" max="7" width="183.33203125" style="43" customWidth="1"/>
    <col min="8" max="8" width="16.33203125" style="43" customWidth="1"/>
    <col min="9" max="16384" width="16.33203125" style="43"/>
  </cols>
  <sheetData>
    <row r="1" spans="1:7" s="42" customFormat="1" ht="21" hidden="1" customHeight="1">
      <c r="A1" s="796"/>
      <c r="B1" s="797"/>
      <c r="C1" s="797"/>
      <c r="D1" s="797"/>
      <c r="E1" s="797"/>
      <c r="F1" s="797"/>
      <c r="G1" s="798"/>
    </row>
    <row r="2" spans="1:7" ht="327" hidden="1" customHeight="1">
      <c r="A2" s="799"/>
      <c r="B2" s="800"/>
      <c r="C2" s="800"/>
      <c r="D2" s="800"/>
      <c r="E2" s="800"/>
      <c r="F2" s="800"/>
      <c r="G2" s="801"/>
    </row>
    <row r="3" spans="1:7" ht="1" hidden="1" customHeight="1">
      <c r="A3" s="802"/>
      <c r="B3" s="803"/>
      <c r="C3" s="803"/>
      <c r="D3" s="803"/>
      <c r="E3" s="803"/>
      <c r="F3" s="803"/>
      <c r="G3" s="804"/>
    </row>
    <row r="4" spans="1:7" ht="409.5" customHeight="1">
      <c r="A4" s="805" t="s">
        <v>229</v>
      </c>
      <c r="B4" s="806"/>
      <c r="C4" s="806"/>
      <c r="D4" s="806"/>
      <c r="E4" s="806"/>
      <c r="F4" s="806"/>
      <c r="G4" s="807"/>
    </row>
    <row r="5" spans="1:7" ht="409" customHeight="1">
      <c r="A5" s="799"/>
      <c r="B5" s="800"/>
      <c r="C5" s="800"/>
      <c r="D5" s="800"/>
      <c r="E5" s="800"/>
      <c r="F5" s="800"/>
      <c r="G5" s="801"/>
    </row>
    <row r="6" spans="1:7" ht="60" customHeight="1">
      <c r="A6" s="799"/>
      <c r="B6" s="800"/>
      <c r="C6" s="800"/>
      <c r="D6" s="800"/>
      <c r="E6" s="800"/>
      <c r="F6" s="800"/>
      <c r="G6" s="801"/>
    </row>
    <row r="7" spans="1:7" ht="20" customHeight="1">
      <c r="A7" s="799"/>
      <c r="B7" s="800"/>
      <c r="C7" s="800"/>
      <c r="D7" s="800"/>
      <c r="E7" s="800"/>
      <c r="F7" s="800"/>
      <c r="G7" s="801"/>
    </row>
    <row r="8" spans="1:7" ht="20" customHeight="1">
      <c r="A8" s="799"/>
      <c r="B8" s="800"/>
      <c r="C8" s="800"/>
      <c r="D8" s="800"/>
      <c r="E8" s="800"/>
      <c r="F8" s="800"/>
      <c r="G8" s="801"/>
    </row>
    <row r="9" spans="1:7" ht="20" customHeight="1">
      <c r="A9" s="799"/>
      <c r="B9" s="800"/>
      <c r="C9" s="800"/>
      <c r="D9" s="800"/>
      <c r="E9" s="800"/>
      <c r="F9" s="800"/>
      <c r="G9" s="801"/>
    </row>
    <row r="10" spans="1:7" ht="20" customHeight="1">
      <c r="A10" s="799"/>
      <c r="B10" s="800"/>
      <c r="C10" s="800"/>
      <c r="D10" s="800"/>
      <c r="E10" s="800"/>
      <c r="F10" s="800"/>
      <c r="G10" s="801"/>
    </row>
    <row r="11" spans="1:7" ht="20" customHeight="1">
      <c r="A11" s="799"/>
      <c r="B11" s="800"/>
      <c r="C11" s="800"/>
      <c r="D11" s="800"/>
      <c r="E11" s="800"/>
      <c r="F11" s="800"/>
      <c r="G11" s="801"/>
    </row>
    <row r="12" spans="1:7" ht="20" customHeight="1">
      <c r="A12" s="799"/>
      <c r="B12" s="800"/>
      <c r="C12" s="800"/>
      <c r="D12" s="800"/>
      <c r="E12" s="800"/>
      <c r="F12" s="800"/>
      <c r="G12" s="801"/>
    </row>
    <row r="13" spans="1:7" ht="20" customHeight="1">
      <c r="A13" s="799"/>
      <c r="B13" s="800"/>
      <c r="C13" s="800"/>
      <c r="D13" s="800"/>
      <c r="E13" s="800"/>
      <c r="F13" s="800"/>
      <c r="G13" s="801"/>
    </row>
    <row r="14" spans="1:7" ht="20" customHeight="1">
      <c r="A14" s="799"/>
      <c r="B14" s="800"/>
      <c r="C14" s="800"/>
      <c r="D14" s="800"/>
      <c r="E14" s="800"/>
      <c r="F14" s="800"/>
      <c r="G14" s="801"/>
    </row>
    <row r="15" spans="1:7" ht="20" customHeight="1">
      <c r="A15" s="799"/>
      <c r="B15" s="800"/>
      <c r="C15" s="800"/>
      <c r="D15" s="800"/>
      <c r="E15" s="800"/>
      <c r="F15" s="800"/>
      <c r="G15" s="801"/>
    </row>
    <row r="16" spans="1:7" ht="20" customHeight="1">
      <c r="A16" s="799"/>
      <c r="B16" s="800"/>
      <c r="C16" s="800"/>
      <c r="D16" s="800"/>
      <c r="E16" s="800"/>
      <c r="F16" s="800"/>
      <c r="G16" s="801"/>
    </row>
    <row r="17" spans="1:7" ht="20" customHeight="1">
      <c r="A17" s="799"/>
      <c r="B17" s="800"/>
      <c r="C17" s="800"/>
      <c r="D17" s="800"/>
      <c r="E17" s="800"/>
      <c r="F17" s="800"/>
      <c r="G17" s="801"/>
    </row>
    <row r="18" spans="1:7" ht="20" customHeight="1">
      <c r="A18" s="799"/>
      <c r="B18" s="800"/>
      <c r="C18" s="800"/>
      <c r="D18" s="800"/>
      <c r="E18" s="800"/>
      <c r="F18" s="800"/>
      <c r="G18" s="801"/>
    </row>
    <row r="19" spans="1:7" ht="20" customHeight="1">
      <c r="A19" s="799"/>
      <c r="B19" s="800"/>
      <c r="C19" s="800"/>
      <c r="D19" s="800"/>
      <c r="E19" s="800"/>
      <c r="F19" s="800"/>
      <c r="G19" s="801"/>
    </row>
    <row r="20" spans="1:7" ht="20" customHeight="1">
      <c r="A20" s="799"/>
      <c r="B20" s="800"/>
      <c r="C20" s="800"/>
      <c r="D20" s="800"/>
      <c r="E20" s="800"/>
      <c r="F20" s="800"/>
      <c r="G20" s="801"/>
    </row>
    <row r="21" spans="1:7" ht="20" customHeight="1">
      <c r="A21" s="799"/>
      <c r="B21" s="800"/>
      <c r="C21" s="800"/>
      <c r="D21" s="800"/>
      <c r="E21" s="800"/>
      <c r="F21" s="800"/>
      <c r="G21" s="801"/>
    </row>
    <row r="22" spans="1:7" ht="20" customHeight="1">
      <c r="A22" s="799"/>
      <c r="B22" s="800"/>
      <c r="C22" s="800"/>
      <c r="D22" s="800"/>
      <c r="E22" s="800"/>
      <c r="F22" s="800"/>
      <c r="G22" s="801"/>
    </row>
    <row r="23" spans="1:7" ht="20" customHeight="1">
      <c r="A23" s="799"/>
      <c r="B23" s="800"/>
      <c r="C23" s="800"/>
      <c r="D23" s="800"/>
      <c r="E23" s="800"/>
      <c r="F23" s="800"/>
      <c r="G23" s="801"/>
    </row>
    <row r="24" spans="1:7" ht="20" customHeight="1">
      <c r="A24" s="799"/>
      <c r="B24" s="800"/>
      <c r="C24" s="800"/>
      <c r="D24" s="800"/>
      <c r="E24" s="800"/>
      <c r="F24" s="800"/>
      <c r="G24" s="801"/>
    </row>
    <row r="25" spans="1:7" ht="20" customHeight="1">
      <c r="A25" s="799"/>
      <c r="B25" s="800"/>
      <c r="C25" s="800"/>
      <c r="D25" s="800"/>
      <c r="E25" s="800"/>
      <c r="F25" s="800"/>
      <c r="G25" s="801"/>
    </row>
    <row r="26" spans="1:7" ht="20" customHeight="1">
      <c r="A26" s="799"/>
      <c r="B26" s="800"/>
      <c r="C26" s="800"/>
      <c r="D26" s="800"/>
      <c r="E26" s="800"/>
      <c r="F26" s="800"/>
      <c r="G26" s="801"/>
    </row>
    <row r="27" spans="1:7" ht="20" customHeight="1">
      <c r="A27" s="799"/>
      <c r="B27" s="800"/>
      <c r="C27" s="800"/>
      <c r="D27" s="800"/>
      <c r="E27" s="800"/>
      <c r="F27" s="800"/>
      <c r="G27" s="801"/>
    </row>
    <row r="28" spans="1:7" ht="20" customHeight="1">
      <c r="A28" s="799"/>
      <c r="B28" s="800"/>
      <c r="C28" s="800"/>
      <c r="D28" s="800"/>
      <c r="E28" s="800"/>
      <c r="F28" s="800"/>
      <c r="G28" s="801"/>
    </row>
    <row r="29" spans="1:7" ht="20" customHeight="1">
      <c r="A29" s="799"/>
      <c r="B29" s="800"/>
      <c r="C29" s="800"/>
      <c r="D29" s="800"/>
      <c r="E29" s="800"/>
      <c r="F29" s="800"/>
      <c r="G29" s="801"/>
    </row>
    <row r="30" spans="1:7" ht="20" customHeight="1">
      <c r="A30" s="799"/>
      <c r="B30" s="800"/>
      <c r="C30" s="800"/>
      <c r="D30" s="800"/>
      <c r="E30" s="800"/>
      <c r="F30" s="800"/>
      <c r="G30" s="801"/>
    </row>
    <row r="31" spans="1:7" ht="409" customHeight="1">
      <c r="A31" s="799"/>
      <c r="B31" s="800"/>
      <c r="C31" s="800"/>
      <c r="D31" s="800"/>
      <c r="E31" s="800"/>
      <c r="F31" s="800"/>
      <c r="G31" s="801"/>
    </row>
    <row r="32" spans="1:7" ht="409" customHeight="1">
      <c r="A32" s="799"/>
      <c r="B32" s="800"/>
      <c r="C32" s="800"/>
      <c r="D32" s="800"/>
      <c r="E32" s="800"/>
      <c r="F32" s="800"/>
      <c r="G32" s="801"/>
    </row>
    <row r="33" spans="1:18" ht="20" customHeight="1">
      <c r="A33" s="799"/>
      <c r="B33" s="800"/>
      <c r="C33" s="800"/>
      <c r="D33" s="800"/>
      <c r="E33" s="800"/>
      <c r="F33" s="800"/>
      <c r="G33" s="801"/>
    </row>
    <row r="34" spans="1:18" ht="20" customHeight="1">
      <c r="A34" s="799"/>
      <c r="B34" s="800"/>
      <c r="C34" s="800"/>
      <c r="D34" s="800"/>
      <c r="E34" s="800"/>
      <c r="F34" s="800"/>
      <c r="G34" s="801"/>
    </row>
    <row r="35" spans="1:18" ht="20" customHeight="1">
      <c r="A35" s="799"/>
      <c r="B35" s="800"/>
      <c r="C35" s="800"/>
      <c r="D35" s="800"/>
      <c r="E35" s="800"/>
      <c r="F35" s="800"/>
      <c r="G35" s="801"/>
    </row>
    <row r="36" spans="1:18" ht="20" customHeight="1">
      <c r="A36" s="799"/>
      <c r="B36" s="800"/>
      <c r="C36" s="800"/>
      <c r="D36" s="800"/>
      <c r="E36" s="800"/>
      <c r="F36" s="800"/>
      <c r="G36" s="801"/>
    </row>
    <row r="37" spans="1:18" ht="20" customHeight="1">
      <c r="A37" s="799"/>
      <c r="B37" s="800"/>
      <c r="C37" s="800"/>
      <c r="D37" s="800"/>
      <c r="E37" s="800"/>
      <c r="F37" s="800"/>
      <c r="G37" s="801"/>
    </row>
    <row r="38" spans="1:18" ht="409" customHeight="1">
      <c r="A38" s="799"/>
      <c r="B38" s="800"/>
      <c r="C38" s="800"/>
      <c r="D38" s="800"/>
      <c r="E38" s="800"/>
      <c r="F38" s="800"/>
      <c r="G38" s="801"/>
    </row>
    <row r="39" spans="1:18" ht="215" customHeight="1">
      <c r="A39" s="799"/>
      <c r="B39" s="800"/>
      <c r="C39" s="800"/>
      <c r="D39" s="800"/>
      <c r="E39" s="800"/>
      <c r="F39" s="800"/>
      <c r="G39" s="801"/>
    </row>
    <row r="40" spans="1:18" ht="93" customHeight="1">
      <c r="A40" s="799"/>
      <c r="B40" s="800"/>
      <c r="C40" s="800"/>
      <c r="D40" s="800"/>
      <c r="E40" s="800"/>
      <c r="F40" s="800"/>
      <c r="G40" s="801"/>
    </row>
    <row r="41" spans="1:18" ht="20" customHeight="1">
      <c r="A41" s="799"/>
      <c r="B41" s="800"/>
      <c r="C41" s="800"/>
      <c r="D41" s="800"/>
      <c r="E41" s="800"/>
      <c r="F41" s="800"/>
      <c r="G41" s="801"/>
    </row>
    <row r="42" spans="1:18" ht="259" customHeight="1" thickBot="1">
      <c r="A42" s="808"/>
      <c r="B42" s="809"/>
      <c r="C42" s="809"/>
      <c r="D42" s="809"/>
      <c r="E42" s="809"/>
      <c r="F42" s="809"/>
      <c r="G42" s="810"/>
    </row>
    <row r="43" spans="1:18" ht="20" customHeight="1">
      <c r="A43" s="536" t="s">
        <v>137</v>
      </c>
      <c r="B43" s="537"/>
      <c r="C43" s="537"/>
      <c r="D43" s="537"/>
      <c r="E43" s="537"/>
      <c r="F43" s="537"/>
      <c r="G43" s="537"/>
      <c r="H43" s="537"/>
    </row>
    <row r="44" spans="1:18" ht="62" customHeight="1">
      <c r="A44" s="538" t="s">
        <v>104</v>
      </c>
      <c r="B44" s="396"/>
      <c r="C44" s="110"/>
      <c r="D44" s="110"/>
      <c r="E44" s="110"/>
      <c r="F44" s="110"/>
      <c r="G44" s="110"/>
      <c r="H44"/>
      <c r="I44"/>
      <c r="J44"/>
      <c r="K44"/>
      <c r="L44"/>
      <c r="M44"/>
      <c r="N44"/>
      <c r="O44"/>
      <c r="P44"/>
      <c r="Q44"/>
      <c r="R44"/>
    </row>
    <row r="45" spans="1:18" ht="32" customHeight="1">
      <c r="A45" s="588" t="s">
        <v>161</v>
      </c>
      <c r="B45" s="585"/>
      <c r="C45" s="110"/>
      <c r="D45" s="110"/>
      <c r="E45" s="110"/>
      <c r="F45" s="110"/>
      <c r="G45" s="110"/>
      <c r="H45"/>
      <c r="I45"/>
      <c r="J45"/>
      <c r="K45"/>
      <c r="L45"/>
      <c r="M45"/>
      <c r="N45"/>
      <c r="O45"/>
      <c r="P45"/>
      <c r="Q45"/>
      <c r="R45"/>
    </row>
    <row r="46" spans="1:18" ht="34" customHeight="1">
      <c r="A46" s="539" t="s">
        <v>105</v>
      </c>
      <c r="B46" s="587"/>
      <c r="C46" s="110"/>
      <c r="D46" s="110"/>
      <c r="E46" s="110"/>
      <c r="F46" s="110"/>
      <c r="G46" s="110"/>
      <c r="H46"/>
      <c r="I46"/>
      <c r="J46"/>
      <c r="K46"/>
      <c r="L46"/>
      <c r="M46"/>
      <c r="N46"/>
      <c r="O46"/>
      <c r="P46"/>
      <c r="Q46"/>
      <c r="R46"/>
    </row>
    <row r="47" spans="1:18" ht="88" customHeight="1">
      <c r="A47" s="589" t="s">
        <v>162</v>
      </c>
      <c r="B47" s="110"/>
      <c r="C47" s="110"/>
      <c r="D47" s="110"/>
      <c r="E47" s="110"/>
      <c r="F47" s="110"/>
      <c r="G47" s="110"/>
      <c r="H47"/>
      <c r="I47"/>
      <c r="J47"/>
      <c r="K47"/>
      <c r="L47"/>
      <c r="M47"/>
      <c r="N47"/>
      <c r="O47"/>
      <c r="P47"/>
      <c r="Q47"/>
      <c r="R47"/>
    </row>
    <row r="48" spans="1:18" ht="35" customHeight="1">
      <c r="A48" s="590" t="s">
        <v>113</v>
      </c>
      <c r="B48" s="585"/>
      <c r="C48" s="110"/>
      <c r="D48" s="110"/>
      <c r="E48" s="110"/>
      <c r="F48" s="110"/>
      <c r="G48" s="110"/>
      <c r="H48"/>
      <c r="I48"/>
      <c r="J48"/>
      <c r="K48"/>
      <c r="L48"/>
      <c r="M48"/>
      <c r="N48"/>
      <c r="O48"/>
      <c r="P48"/>
      <c r="Q48"/>
      <c r="R48"/>
    </row>
    <row r="49" spans="1:18" ht="20" customHeight="1">
      <c r="A49" s="584" t="s">
        <v>163</v>
      </c>
      <c r="B49" s="586"/>
      <c r="C49" s="586"/>
      <c r="D49" s="586"/>
      <c r="E49" s="586"/>
      <c r="F49" s="586"/>
      <c r="G49" s="389"/>
      <c r="H49"/>
      <c r="I49"/>
      <c r="J49"/>
      <c r="K49"/>
      <c r="L49"/>
      <c r="M49"/>
      <c r="N49"/>
      <c r="O49"/>
      <c r="P49"/>
      <c r="Q49"/>
      <c r="R49"/>
    </row>
    <row r="50" spans="1:18" ht="33" customHeight="1">
      <c r="A50" s="540" t="s">
        <v>152</v>
      </c>
      <c r="H50"/>
      <c r="I50"/>
      <c r="J50"/>
      <c r="K50"/>
      <c r="L50"/>
      <c r="M50"/>
      <c r="N50"/>
      <c r="O50"/>
      <c r="P50"/>
      <c r="Q50"/>
      <c r="R50"/>
    </row>
    <row r="51" spans="1:18" ht="99" customHeight="1">
      <c r="A51" s="387" t="e" vm="1">
        <v>#VALUE!</v>
      </c>
      <c r="H51"/>
      <c r="I51"/>
      <c r="J51"/>
      <c r="K51"/>
      <c r="L51"/>
      <c r="M51"/>
      <c r="N51"/>
      <c r="O51"/>
      <c r="P51"/>
      <c r="Q51"/>
      <c r="R51"/>
    </row>
    <row r="58" spans="1:18" ht="20" customHeight="1">
      <c r="C58" s="583"/>
    </row>
    <row r="71" spans="1:2" ht="20" customHeight="1">
      <c r="A71" s="43"/>
    </row>
    <row r="72" spans="1:2" ht="20" customHeight="1">
      <c r="A72" s="43"/>
    </row>
    <row r="73" spans="1:2" ht="20" customHeight="1">
      <c r="A73" s="43"/>
    </row>
    <row r="74" spans="1:2" ht="20" customHeight="1">
      <c r="A74" s="43"/>
    </row>
    <row r="75" spans="1:2" ht="20" customHeight="1">
      <c r="A75" s="43"/>
    </row>
    <row r="76" spans="1:2" ht="20" customHeight="1">
      <c r="A76" s="43"/>
    </row>
    <row r="77" spans="1:2" ht="20" customHeight="1">
      <c r="A77" s="43"/>
      <c r="B77" s="390"/>
    </row>
    <row r="78" spans="1:2" ht="20" customHeight="1">
      <c r="A78" s="43"/>
    </row>
    <row r="79" spans="1:2" ht="20" customHeight="1">
      <c r="A79" s="43"/>
    </row>
    <row r="80" spans="1:2" ht="20" customHeight="1">
      <c r="A80" s="43"/>
    </row>
    <row r="81" spans="1:1" ht="20" customHeight="1">
      <c r="A81" s="43"/>
    </row>
    <row r="82" spans="1:1" ht="20" customHeight="1">
      <c r="A82" s="43"/>
    </row>
    <row r="83" spans="1:1" ht="20" customHeight="1">
      <c r="A83" s="43"/>
    </row>
    <row r="84" spans="1:1" ht="20" customHeight="1">
      <c r="A84" s="43"/>
    </row>
    <row r="85" spans="1:1" ht="20" customHeight="1">
      <c r="A85" s="43"/>
    </row>
    <row r="86" spans="1:1" ht="20" customHeight="1">
      <c r="A86" s="583"/>
    </row>
    <row r="87" spans="1:1" ht="20" customHeight="1">
      <c r="A87" s="43"/>
    </row>
  </sheetData>
  <mergeCells count="2">
    <mergeCell ref="A1:G3"/>
    <mergeCell ref="A4:G42"/>
  </mergeCells>
  <pageMargins left="1" right="1" top="1" bottom="1" header="0.25" footer="0.25"/>
  <pageSetup scale="1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J125"/>
  <sheetViews>
    <sheetView showGridLines="0" tabSelected="1" workbookViewId="0">
      <pane xSplit="1" ySplit="5" topLeftCell="B6" activePane="bottomRight" state="frozen"/>
      <selection pane="topRight"/>
      <selection pane="bottomLeft"/>
      <selection pane="bottomRight" activeCell="D100" sqref="D100"/>
    </sheetView>
  </sheetViews>
  <sheetFormatPr baseColWidth="10" defaultColWidth="16.33203125" defaultRowHeight="20" customHeight="1"/>
  <cols>
    <col min="1" max="1" width="9.33203125" style="1" customWidth="1"/>
    <col min="2" max="2" width="27.5" style="1" customWidth="1"/>
    <col min="3" max="3" width="28.6640625" style="1" customWidth="1"/>
    <col min="4" max="4" width="22.5" style="1" customWidth="1"/>
    <col min="5" max="5" width="7.83203125" style="1" customWidth="1"/>
    <col min="6" max="6" width="6.5" style="1" customWidth="1"/>
    <col min="7" max="7" width="6.83203125" style="1" customWidth="1"/>
    <col min="8" max="8" width="3.1640625" style="1" customWidth="1"/>
    <col min="9" max="9" width="29.1640625" style="1" customWidth="1"/>
    <col min="10" max="12" width="4.33203125" style="1" customWidth="1"/>
    <col min="13" max="13" width="3.33203125" style="1" customWidth="1"/>
    <col min="14" max="25" width="0.1640625" style="1" hidden="1" customWidth="1"/>
    <col min="26" max="26" width="14.5" style="1" customWidth="1"/>
    <col min="27" max="27" width="6.6640625" style="1" customWidth="1"/>
    <col min="28" max="28" width="11.33203125" style="1" customWidth="1"/>
    <col min="29" max="29" width="7.33203125" style="1" customWidth="1"/>
    <col min="30" max="30" width="3.5" style="1" customWidth="1"/>
    <col min="31" max="31" width="4" hidden="1" customWidth="1"/>
    <col min="32" max="32" width="2.83203125" style="1" hidden="1" customWidth="1"/>
    <col min="33" max="33" width="10.5" style="41" customWidth="1"/>
    <col min="34" max="34" width="27.33203125" style="37" customWidth="1"/>
    <col min="35" max="35" width="8" style="1" customWidth="1"/>
    <col min="36" max="36" width="51.5" style="1" customWidth="1"/>
    <col min="37" max="16384" width="16.33203125" style="1"/>
  </cols>
  <sheetData>
    <row r="1" spans="1:36" ht="45.25" customHeight="1">
      <c r="A1" s="829" t="s">
        <v>0</v>
      </c>
      <c r="B1" s="829"/>
      <c r="C1" s="829"/>
      <c r="D1" s="829"/>
      <c r="E1" s="829"/>
      <c r="F1" s="829"/>
      <c r="G1" s="829"/>
      <c r="H1" s="829"/>
      <c r="I1" s="829"/>
      <c r="J1" s="829"/>
      <c r="K1" s="829"/>
      <c r="L1" s="829"/>
      <c r="M1" s="829"/>
      <c r="N1" s="829"/>
      <c r="O1" s="829"/>
      <c r="P1" s="829"/>
      <c r="Q1" s="829"/>
      <c r="R1" s="829"/>
      <c r="S1" s="829"/>
      <c r="T1" s="829"/>
      <c r="U1" s="829"/>
      <c r="V1" s="829"/>
      <c r="W1" s="829"/>
      <c r="X1" s="829"/>
      <c r="Y1" s="829"/>
      <c r="Z1" s="829"/>
      <c r="AA1" s="829"/>
      <c r="AB1" s="829"/>
      <c r="AC1" s="829"/>
      <c r="AD1" s="829"/>
      <c r="AE1" s="45"/>
      <c r="AF1" s="45"/>
      <c r="AG1" s="46"/>
      <c r="AH1" s="37" t="s">
        <v>137</v>
      </c>
    </row>
    <row r="2" spans="1:36" ht="63" customHeight="1">
      <c r="A2" s="390"/>
      <c r="B2" s="827" t="s">
        <v>1</v>
      </c>
      <c r="C2" s="828"/>
      <c r="D2" s="824" t="s">
        <v>2</v>
      </c>
      <c r="E2" s="830" t="s">
        <v>3</v>
      </c>
      <c r="F2" s="823"/>
      <c r="G2" s="823"/>
      <c r="H2" s="815" t="s">
        <v>88</v>
      </c>
      <c r="I2" s="844" t="s">
        <v>128</v>
      </c>
      <c r="J2" s="823"/>
      <c r="K2" s="823"/>
      <c r="L2" s="823"/>
      <c r="M2" s="823"/>
      <c r="N2" s="49"/>
      <c r="O2" s="845"/>
      <c r="P2" s="823"/>
      <c r="Q2" s="823"/>
      <c r="R2" s="823"/>
      <c r="S2" s="823"/>
      <c r="T2" s="823"/>
      <c r="U2" s="823"/>
      <c r="V2" s="823"/>
      <c r="W2" s="823"/>
      <c r="X2" s="49"/>
      <c r="Y2" s="49"/>
      <c r="Z2" s="50" t="s">
        <v>204</v>
      </c>
      <c r="AA2" s="846" t="s">
        <v>232</v>
      </c>
      <c r="AB2" s="847"/>
      <c r="AC2" s="848" t="s">
        <v>82</v>
      </c>
      <c r="AD2" s="849"/>
      <c r="AE2" s="45"/>
      <c r="AF2" s="826"/>
      <c r="AG2" s="51"/>
    </row>
    <row r="3" spans="1:36" ht="31" customHeight="1">
      <c r="A3" s="315"/>
      <c r="B3" s="316"/>
      <c r="C3" s="317"/>
      <c r="D3" s="825"/>
      <c r="E3" s="52" t="s">
        <v>4</v>
      </c>
      <c r="F3" s="52" t="s">
        <v>5</v>
      </c>
      <c r="G3" s="52" t="s">
        <v>6</v>
      </c>
      <c r="H3" s="816"/>
      <c r="I3" s="833" t="s">
        <v>6</v>
      </c>
      <c r="J3" s="834"/>
      <c r="K3" s="834"/>
      <c r="L3" s="834"/>
      <c r="M3" s="834"/>
      <c r="N3" s="49"/>
      <c r="O3" s="826"/>
      <c r="P3" s="823"/>
      <c r="Q3" s="823"/>
      <c r="R3" s="823"/>
      <c r="S3" s="823"/>
      <c r="T3" s="823"/>
      <c r="U3" s="823"/>
      <c r="V3" s="823"/>
      <c r="W3" s="823"/>
      <c r="X3" s="823"/>
      <c r="Y3" s="823"/>
      <c r="Z3" s="823"/>
      <c r="AA3" s="823"/>
      <c r="AB3" s="48"/>
      <c r="AC3" s="53"/>
      <c r="AD3" s="54"/>
      <c r="AE3" s="45"/>
      <c r="AF3" s="823"/>
      <c r="AG3" s="813" t="s">
        <v>111</v>
      </c>
    </row>
    <row r="4" spans="1:36" ht="42" customHeight="1">
      <c r="A4" s="312"/>
      <c r="B4" s="313"/>
      <c r="C4" s="314"/>
      <c r="D4" s="765">
        <v>45369</v>
      </c>
      <c r="E4" s="55">
        <v>24</v>
      </c>
      <c r="F4" s="55">
        <v>5</v>
      </c>
      <c r="G4" s="55">
        <v>25</v>
      </c>
      <c r="H4" s="816"/>
      <c r="I4" s="839" t="s">
        <v>7</v>
      </c>
      <c r="J4" s="840"/>
      <c r="K4" s="56"/>
      <c r="L4" s="837"/>
      <c r="M4" s="835"/>
      <c r="N4" s="57"/>
      <c r="O4" s="57"/>
      <c r="P4" s="57"/>
      <c r="Q4" s="58"/>
      <c r="R4" s="58"/>
      <c r="S4" s="58"/>
      <c r="T4" s="59"/>
      <c r="U4" s="59"/>
      <c r="V4" s="59"/>
      <c r="W4" s="60">
        <f t="shared" ref="W4:W35" si="0">E$4</f>
        <v>24</v>
      </c>
      <c r="X4" s="60">
        <f t="shared" ref="X4:X35" si="1">F$4</f>
        <v>5</v>
      </c>
      <c r="Y4" s="60">
        <f t="shared" ref="Y4:Y35" si="2">G$4</f>
        <v>25</v>
      </c>
      <c r="Z4" s="61" t="s">
        <v>8</v>
      </c>
      <c r="AA4" s="820">
        <f>SUM(Z6:Z104)+AA$5+AG5</f>
        <v>1773</v>
      </c>
      <c r="AB4" s="821"/>
      <c r="AC4" s="53"/>
      <c r="AD4" s="54"/>
      <c r="AE4" s="45"/>
      <c r="AF4" s="823"/>
      <c r="AG4" s="814"/>
    </row>
    <row r="5" spans="1:36" ht="42.25" customHeight="1">
      <c r="A5" s="62" t="s">
        <v>112</v>
      </c>
      <c r="B5" s="63" t="s">
        <v>9</v>
      </c>
      <c r="C5" s="63" t="s">
        <v>10</v>
      </c>
      <c r="D5" s="63" t="s">
        <v>11</v>
      </c>
      <c r="E5" s="831" t="s">
        <v>83</v>
      </c>
      <c r="F5" s="832"/>
      <c r="G5" s="832"/>
      <c r="H5" s="817"/>
      <c r="I5" s="841" t="s">
        <v>12</v>
      </c>
      <c r="J5" s="842"/>
      <c r="K5" s="843"/>
      <c r="L5" s="838"/>
      <c r="M5" s="836"/>
      <c r="N5" s="65"/>
      <c r="O5" s="65"/>
      <c r="P5" s="65"/>
      <c r="Q5" s="66"/>
      <c r="R5" s="66"/>
      <c r="S5" s="66"/>
      <c r="T5" s="67"/>
      <c r="U5" s="67"/>
      <c r="V5" s="67"/>
      <c r="W5" s="68">
        <f t="shared" si="0"/>
        <v>24</v>
      </c>
      <c r="X5" s="68">
        <f t="shared" si="1"/>
        <v>5</v>
      </c>
      <c r="Y5" s="68">
        <f t="shared" si="2"/>
        <v>25</v>
      </c>
      <c r="Z5" s="69" t="s">
        <v>202</v>
      </c>
      <c r="AA5" s="822">
        <f>SUM(AB6:AB104)</f>
        <v>60</v>
      </c>
      <c r="AB5" s="823"/>
      <c r="AC5" s="70"/>
      <c r="AD5" s="71"/>
      <c r="AE5" s="45">
        <f>G4</f>
        <v>25</v>
      </c>
      <c r="AF5" s="64"/>
      <c r="AG5" s="72">
        <f>SUM(AG6:AG104)</f>
        <v>90</v>
      </c>
      <c r="AH5" s="38"/>
      <c r="AI5" s="811" t="s">
        <v>136</v>
      </c>
      <c r="AJ5" s="812"/>
    </row>
    <row r="6" spans="1:36" ht="25" customHeight="1">
      <c r="A6" s="73">
        <v>1</v>
      </c>
      <c r="B6" s="737" t="s">
        <v>164</v>
      </c>
      <c r="C6" s="738" t="s">
        <v>165</v>
      </c>
      <c r="D6" s="739" t="s">
        <v>166</v>
      </c>
      <c r="E6" s="740">
        <v>4</v>
      </c>
      <c r="F6" s="740">
        <v>1</v>
      </c>
      <c r="G6" s="740">
        <v>20</v>
      </c>
      <c r="H6" s="741" t="s">
        <v>89</v>
      </c>
      <c r="I6" s="75" t="s">
        <v>14</v>
      </c>
      <c r="J6" s="467" t="str">
        <f>IF(AB6&gt;=0.1,"+§10","")</f>
        <v>+§10</v>
      </c>
      <c r="K6" s="76">
        <f t="shared" ref="K6:K37" si="3">ROUNDUP(O6,0)</f>
        <v>65</v>
      </c>
      <c r="L6" s="77">
        <f t="shared" ref="L6:L37" si="4">ROUNDUP(N6,0)</f>
        <v>22</v>
      </c>
      <c r="M6" s="78">
        <f t="shared" ref="M6:M37" si="5">ROUNDUP(P6,0)</f>
        <v>6</v>
      </c>
      <c r="N6" s="79">
        <f t="shared" ref="N6:N37" si="6">O6/3</f>
        <v>21.555555555555557</v>
      </c>
      <c r="O6" s="79">
        <f t="shared" ref="O6:O37" si="7">S6*12+R6+(Q6/30)</f>
        <v>64.666666666666671</v>
      </c>
      <c r="P6" s="79">
        <f t="shared" ref="P6:P37" si="8">O6/12</f>
        <v>5.3888888888888893</v>
      </c>
      <c r="Q6" s="80">
        <f t="shared" ref="Q6:Q37" si="9">W6-T6</f>
        <v>20</v>
      </c>
      <c r="R6" s="80">
        <f t="shared" ref="R6:R37" si="10">X6-U6</f>
        <v>4</v>
      </c>
      <c r="S6" s="80">
        <f t="shared" ref="S6:S37" si="11">Y6-V6</f>
        <v>5</v>
      </c>
      <c r="T6" s="81">
        <f t="shared" ref="T6:T37" si="12">E6</f>
        <v>4</v>
      </c>
      <c r="U6" s="81">
        <f t="shared" ref="U6:U37" si="13">F6</f>
        <v>1</v>
      </c>
      <c r="V6" s="81">
        <f t="shared" ref="V6:V37" si="14">G6</f>
        <v>20</v>
      </c>
      <c r="W6" s="79">
        <f t="shared" si="0"/>
        <v>24</v>
      </c>
      <c r="X6" s="79">
        <f t="shared" si="1"/>
        <v>5</v>
      </c>
      <c r="Y6" s="79">
        <f t="shared" si="2"/>
        <v>25</v>
      </c>
      <c r="Z6" s="82">
        <f>IF(Z$2="Stufe A",IF(AND(I6="Auswahl treffen",L6&gt;=0,L6&lt;=1000),J6,IF(AND(I6="Vermögend und ambulant",L6&gt;8,L6&lt;=1000),130,IF(AND(I6="Vermögend und ambulant",L6&gt;4,L6&lt;=8),158,IF(AND(I6="Vermögend und ambulant",L6&gt;2,L6&lt;=4),192,IF(AND(I6="Vermögend und ambulant",L6&gt;1,L6&lt;=2),208,IF(AND(I6="Vermögend und ambulant",L6&gt;0,L6&lt;=1),298,IF(AND(I6="Vermögend und stationär",L6&gt;8,L6&lt;=1000),78,IF(AND(I6="Vermögend und stationär",L6&gt;4,L6&lt;=8),91,IF(AND(I6="Vermögend und stationär",L6&gt;2,L6&lt;=4),140,IF(AND(I6="Vermögend und stationär",L6&gt;1,L6&lt;=2),158,IF(AND(I6="Vermögend und stationär",L6&gt;0,L6&lt;=1),200,IF(AND(I6="Mittellos und ambulant",L6&gt;8,L6&lt;=1000),105,IF(AND(I6="Mittellos und ambulant",L6&gt;4,L6&lt;=8),122,IF(AND(I6="Mittellos und ambulant",L6&gt;2,L6&lt;=4),151,IF(AND(I6="Mittellos und ambulant",L6&gt;1,L6&lt;=2),170,IF(AND(I6="Mittellos und ambulant",L6&gt;0,L6&lt;=1),208,IF(AND(I6="Mittellos und stationär",L6&gt;8,L6&lt;=1000),62,IF(AND(I6="Mittellos und stationär",L6&gt;4,L6&lt;=8),87,IF(AND(I6="Mittellos und stationär",L6&gt;2,L6&lt;=4),124,IF(AND(I6="Mittellos und stationär",L6&gt;1,L6&lt;=2),129,IF(AND(I6="Mittellos und stationär",L6&gt;0,L6&lt;=1),194,""))))))))))))))))))))),IF(Z$2="Stufe B",IF(AND(I6="Auswahl treffen",L6&gt;=0,L6&lt;=1000),J6,IF(AND(I6="Vermögend und ambulant",L6&gt;8,L6&lt;=1000),161,IF(AND(I6="Vermögend und ambulant",L6&gt;4,L6&lt;=8),196,IF(AND(I6="Vermögend und ambulant",L6&gt;2,L6&lt;=4),238,IF(AND(I6="Vermögend und ambulant",L6&gt;1,L6&lt;=2),258,IF(AND(I6="Vermögend und ambulant",L6&gt;0,L6&lt;=1),370,IF(AND(I6="Vermögend und stationär",L6&gt;8,L6&lt;=1000),96,IF(AND(I6="Vermögend und stationär",L6&gt;4,L6&lt;=8),113,IF(AND(I6="Vermögend und stationär",L6&gt;2,L6&lt;=4),174,IF(AND(I6="Vermögend und stationär",L6&gt;1,L6&lt;=2),196,IF(AND(I6="Vermögend und stationär",L6&gt;0,L6&lt;=1),249,IF(AND(I6="Mittellos und ambulant",L6&gt;8,L6&lt;=1000),130,IF(AND(I6="Mittellos und ambulant",L6&gt;4,L6&lt;=8),151,IF(AND(I6="Mittellos und ambulant",L6&gt;2,L6&lt;=4),188,IF(AND(I6="Mittellos und ambulant",L6&gt;1,L6&lt;=2),211,IF(AND(I6="Mittellos und ambulant",L6&gt;0,L6&lt;=1),258,IF(AND(I6="Mittellos und stationär",L6&gt;8,L6&lt;=1000),78,IF(AND(I6="Mittellos und stationär",L6&gt;4,L6&lt;=8),107,IF(AND(I6="Mittellos und stationär",L6&gt;2,L6&lt;=4),154,IF(AND(I6="Mittellos und stationär",L6&gt;1,L6&lt;=2),158,IF(AND(I6="Mittellos und stationär",L6&gt;0,L6&lt;=1),241,""))))))))))))))))))))),IF(Z$2="Stufe C",IF(AND(I6="Auswahl treffen",L6&gt;=0,L6&lt;=1000),J6,IF(AND(I6="Vermögend und ambulant",L6&gt;8,L6&lt;=1000),211,IF(AND(I6="Vermögend und ambulant",L6&gt;4,L6&lt;=8),257,IF(AND(I6="Vermögend und ambulant",L6&gt;2,L6&lt;=4),312,IF(AND(I6="Vermögend und ambulant",L6&gt;1,L6&lt;=2),339,IF(AND(I6="Vermögend und ambulant",L6&gt;0,L6&lt;=1),486,IF(AND(I6="Vermögend und stationär",L6&gt;8,L6&lt;=1000),127,IF(AND(I6="Vermögend und stationär",L6&gt;4,L6&lt;=8),149,IF(AND(I6="Vermögend und stationär",L6&gt;2,L6&lt;=4),229,IF(AND(I6="Vermögend und stationär",L6&gt;1,L6&lt;=2),257,IF(AND(I6="Vermögend und stationär",L6&gt;0,L6&lt;=1),327,IF(AND(I6="Mittellos und ambulant",L6&gt;8,L6&lt;=1000),171,IF(AND(I6="Mittellos und ambulant",L6&gt;4,L6&lt;=8),198,IF(AND(I6="Mittellos und ambulant",L6&gt;2,L6&lt;=4),246,IF(AND(I6="Mittellos und ambulant",L6&gt;1,L6&lt;=2),277,IF(AND(I6="Mittellos und ambulant",L6&gt;0,L6&lt;=1),339,IF(AND(I6="Mittellos und stationär",L6&gt;8,L6&lt;=1000),102,IF(AND(I6="Mittellos und stationär",L6&gt;4,L6&lt;=8),141,IF(AND(I6="Mittellos und stationär",L6&gt;2,L6&lt;=4),202,IF(AND(I6="Mittellos und stationär",L6&gt;1,L6&lt;=2),208,IF(AND(I6="Mittellos und stationär",L6&gt;0,L6&lt;=1),317,""))))))))))))))))))))),"")))</f>
        <v>127</v>
      </c>
      <c r="AA6" s="83" t="str">
        <f t="shared" ref="AA6:AA37" si="15">IF(G6&gt;0.1,"EUR","")</f>
        <v>EUR</v>
      </c>
      <c r="AB6" s="84">
        <f>AF6*30</f>
        <v>30</v>
      </c>
      <c r="AC6" s="1310" t="str">
        <f>IF(AB6&gt;=0.1,"§10","")</f>
        <v>§10</v>
      </c>
      <c r="AD6" s="85">
        <v>1</v>
      </c>
      <c r="AE6" s="45">
        <f>AE5</f>
        <v>25</v>
      </c>
      <c r="AF6" s="74" t="str">
        <f>IF(AD6,"1",0)</f>
        <v>1</v>
      </c>
      <c r="AG6" s="86">
        <f t="shared" ref="AG6:AG37" si="16">IF(AND(OR(AE6=24, AE6=25), G6&gt;=1, G6&lt;=100), 7.5, "")</f>
        <v>7.5</v>
      </c>
      <c r="AH6" s="39"/>
      <c r="AI6" s="309" t="s">
        <v>134</v>
      </c>
      <c r="AJ6" s="310" t="s">
        <v>135</v>
      </c>
    </row>
    <row r="7" spans="1:36" ht="25" customHeight="1">
      <c r="A7" s="87">
        <v>2</v>
      </c>
      <c r="B7" s="742" t="s">
        <v>167</v>
      </c>
      <c r="C7" s="743" t="s">
        <v>168</v>
      </c>
      <c r="D7" s="744" t="s">
        <v>169</v>
      </c>
      <c r="E7" s="745">
        <v>25</v>
      </c>
      <c r="F7" s="745">
        <v>11</v>
      </c>
      <c r="G7" s="745">
        <v>20</v>
      </c>
      <c r="H7" s="746" t="s">
        <v>89</v>
      </c>
      <c r="I7" s="88" t="s">
        <v>14</v>
      </c>
      <c r="J7" s="467" t="str">
        <f t="shared" ref="J7:J70" si="17">IF(AB7&gt;=0.1,"+§10","")</f>
        <v>+§10</v>
      </c>
      <c r="K7" s="89">
        <f t="shared" si="3"/>
        <v>54</v>
      </c>
      <c r="L7" s="90">
        <f t="shared" si="4"/>
        <v>18</v>
      </c>
      <c r="M7" s="91">
        <f t="shared" si="5"/>
        <v>5</v>
      </c>
      <c r="N7" s="60">
        <f t="shared" si="6"/>
        <v>17.988888888888891</v>
      </c>
      <c r="O7" s="60">
        <f t="shared" si="7"/>
        <v>53.966666666666669</v>
      </c>
      <c r="P7" s="60">
        <f t="shared" si="8"/>
        <v>4.4972222222222227</v>
      </c>
      <c r="Q7" s="92">
        <f t="shared" si="9"/>
        <v>-1</v>
      </c>
      <c r="R7" s="92">
        <f t="shared" si="10"/>
        <v>-6</v>
      </c>
      <c r="S7" s="92">
        <f t="shared" si="11"/>
        <v>5</v>
      </c>
      <c r="T7" s="93">
        <f t="shared" si="12"/>
        <v>25</v>
      </c>
      <c r="U7" s="93">
        <f t="shared" si="13"/>
        <v>11</v>
      </c>
      <c r="V7" s="93">
        <f t="shared" si="14"/>
        <v>20</v>
      </c>
      <c r="W7" s="60">
        <f t="shared" si="0"/>
        <v>24</v>
      </c>
      <c r="X7" s="60">
        <f t="shared" si="1"/>
        <v>5</v>
      </c>
      <c r="Y7" s="60">
        <f t="shared" si="2"/>
        <v>25</v>
      </c>
      <c r="Z7" s="94">
        <f>IF(Z$2="Stufe A",IF(AND(I7="Auswahl treffen",L7&gt;=0,L7&lt;=1000),J7,IF(AND(I7="Vermögend und ambulant",L7&gt;8,L7&lt;=1000),130,IF(AND(I7="Vermögend und ambulant",L7&gt;4,L7&lt;=8),158,IF(AND(I7="Vermögend und ambulant",L7&gt;2,L7&lt;=4),192,IF(AND(I7="Vermögend und ambulant",L7&gt;1,L7&lt;=2),208,IF(AND(I7="Vermögend und ambulant",L7&gt;0,L7&lt;=1),298,IF(AND(I7="Vermögend und stationär",L7&gt;8,L7&lt;=1000),78,IF(AND(I7="Vermögend und stationär",L7&gt;4,L7&lt;=8),91,IF(AND(I7="Vermögend und stationär",L7&gt;2,L7&lt;=4),140,IF(AND(I7="Vermögend und stationär",L7&gt;1,L7&lt;=2),158,IF(AND(I7="Vermögend und stationär",L7&gt;0,L7&lt;=1),200,IF(AND(I7="Mittellos und ambulant",L7&gt;8,L7&lt;=1000),105,IF(AND(I7="Mittellos und ambulant",L7&gt;4,L7&lt;=8),122,IF(AND(I7="Mittellos und ambulant",L7&gt;2,L7&lt;=4),151,IF(AND(I7="Mittellos und ambulant",L7&gt;1,L7&lt;=2),170,IF(AND(I7="Mittellos und ambulant",L7&gt;0,L7&lt;=1),208,IF(AND(I7="Mittellos und stationär",L7&gt;8,L7&lt;=1000),62,IF(AND(I7="Mittellos und stationär",L7&gt;4,L7&lt;=8),87,IF(AND(I7="Mittellos und stationär",L7&gt;2,L7&lt;=4),124,IF(AND(I7="Mittellos und stationär",L7&gt;1,L7&lt;=2),129,IF(AND(I7="Mittellos und stationär",L7&gt;0,L7&lt;=1),194,""))))))))))))))))))))),IF(Z$2="Stufe B",IF(AND(I7="Auswahl treffen",L7&gt;=0,L7&lt;=1000),J7,IF(AND(I7="Vermögend und ambulant",L7&gt;8,L7&lt;=1000),161,IF(AND(I7="Vermögend und ambulant",L7&gt;4,L7&lt;=8),196,IF(AND(I7="Vermögend und ambulant",L7&gt;2,L7&lt;=4),238,IF(AND(I7="Vermögend und ambulant",L7&gt;1,L7&lt;=2),258,IF(AND(I7="Vermögend und ambulant",L7&gt;0,L7&lt;=1),370,IF(AND(I7="Vermögend und stationär",L7&gt;8,L7&lt;=1000),96,IF(AND(I7="Vermögend und stationär",L7&gt;4,L7&lt;=8),113,IF(AND(I7="Vermögend und stationär",L7&gt;2,L7&lt;=4),174,IF(AND(I7="Vermögend und stationär",L7&gt;1,L7&lt;=2),196,IF(AND(I7="Vermögend und stationär",L7&gt;0,L7&lt;=1),249,IF(AND(I7="Mittellos und ambulant",L7&gt;8,L7&lt;=1000),130,IF(AND(I7="Mittellos und ambulant",L7&gt;4,L7&lt;=8),151,IF(AND(I7="Mittellos und ambulant",L7&gt;2,L7&lt;=4),188,IF(AND(I7="Mittellos und ambulant",L7&gt;1,L7&lt;=2),211,IF(AND(I7="Mittellos und ambulant",L7&gt;0,L7&lt;=1),258,IF(AND(I7="Mittellos und stationär",L7&gt;8,L7&lt;=1000),78,IF(AND(I7="Mittellos und stationär",L7&gt;4,L7&lt;=8),107,IF(AND(I7="Mittellos und stationär",L7&gt;2,L7&lt;=4),154,IF(AND(I7="Mittellos und stationär",L7&gt;1,L7&lt;=2),158,IF(AND(I7="Mittellos und stationär",L7&gt;0,L7&lt;=1),241,""))))))))))))))))))))),IF(Z$2="Stufe C",IF(AND(I7="Auswahl treffen",L7&gt;=0,L7&lt;=1000),J7,IF(AND(I7="Vermögend und ambulant",L7&gt;8,L7&lt;=1000),211,IF(AND(I7="Vermögend und ambulant",L7&gt;4,L7&lt;=8),257,IF(AND(I7="Vermögend und ambulant",L7&gt;2,L7&lt;=4),312,IF(AND(I7="Vermögend und ambulant",L7&gt;1,L7&lt;=2),339,IF(AND(I7="Vermögend und ambulant",L7&gt;0,L7&lt;=1),486,IF(AND(I7="Vermögend und stationär",L7&gt;8,L7&lt;=1000),127,IF(AND(I7="Vermögend und stationär",L7&gt;4,L7&lt;=8),149,IF(AND(I7="Vermögend und stationär",L7&gt;2,L7&lt;=4),229,IF(AND(I7="Vermögend und stationär",L7&gt;1,L7&lt;=2),257,IF(AND(I7="Vermögend und stationär",L7&gt;0,L7&lt;=1),327,IF(AND(I7="Mittellos und ambulant",L7&gt;8,L7&lt;=1000),171,IF(AND(I7="Mittellos und ambulant",L7&gt;4,L7&lt;=8),198,IF(AND(I7="Mittellos und ambulant",L7&gt;2,L7&lt;=4),246,IF(AND(I7="Mittellos und ambulant",L7&gt;1,L7&lt;=2),277,IF(AND(I7="Mittellos und ambulant",L7&gt;0,L7&lt;=1),339,IF(AND(I7="Mittellos und stationär",L7&gt;8,L7&lt;=1000),102,IF(AND(I7="Mittellos und stationär",L7&gt;4,L7&lt;=8),141,IF(AND(I7="Mittellos und stationär",L7&gt;2,L7&lt;=4),202,IF(AND(I7="Mittellos und stationär",L7&gt;1,L7&lt;=2),208,IF(AND(I7="Mittellos und stationär",L7&gt;0,L7&lt;=1),317,""))))))))))))))))))))),"")))</f>
        <v>127</v>
      </c>
      <c r="AA7" s="95" t="str">
        <f t="shared" si="15"/>
        <v>EUR</v>
      </c>
      <c r="AB7" s="84">
        <f t="shared" ref="AB7:AB70" si="18">AF7*30</f>
        <v>30</v>
      </c>
      <c r="AC7" s="1310" t="str">
        <f t="shared" ref="AC7:AC70" si="19">IF(AB7&gt;=0.1,"§10","")</f>
        <v>§10</v>
      </c>
      <c r="AD7" s="85">
        <v>1</v>
      </c>
      <c r="AE7" s="45">
        <f t="shared" ref="AE7:AE70" si="20">AE6</f>
        <v>25</v>
      </c>
      <c r="AF7" s="74" t="str">
        <f t="shared" ref="AF7:AF70" si="21">IF(AD7,"1",0)</f>
        <v>1</v>
      </c>
      <c r="AG7" s="86">
        <f t="shared" si="16"/>
        <v>7.5</v>
      </c>
      <c r="AH7" s="40"/>
      <c r="AI7" s="308" t="s">
        <v>89</v>
      </c>
      <c r="AJ7" s="311" t="str">
        <f>B107</f>
        <v>Amtsgericht XXX
Betreuungsgericht
Postfach XXX</v>
      </c>
    </row>
    <row r="8" spans="1:36" ht="25" customHeight="1">
      <c r="A8" s="87">
        <v>3</v>
      </c>
      <c r="B8" s="742" t="s">
        <v>170</v>
      </c>
      <c r="C8" s="743" t="s">
        <v>171</v>
      </c>
      <c r="D8" s="747" t="s">
        <v>172</v>
      </c>
      <c r="E8" s="745">
        <v>20</v>
      </c>
      <c r="F8" s="745">
        <v>11</v>
      </c>
      <c r="G8" s="745">
        <v>20</v>
      </c>
      <c r="H8" s="746" t="s">
        <v>115</v>
      </c>
      <c r="I8" s="88" t="s">
        <v>16</v>
      </c>
      <c r="J8" s="467" t="str">
        <f t="shared" si="17"/>
        <v/>
      </c>
      <c r="K8" s="89">
        <f t="shared" si="3"/>
        <v>55</v>
      </c>
      <c r="L8" s="90">
        <f t="shared" si="4"/>
        <v>19</v>
      </c>
      <c r="M8" s="91">
        <f t="shared" si="5"/>
        <v>5</v>
      </c>
      <c r="N8" s="60">
        <f t="shared" si="6"/>
        <v>18.044444444444444</v>
      </c>
      <c r="O8" s="60">
        <f t="shared" si="7"/>
        <v>54.133333333333333</v>
      </c>
      <c r="P8" s="60">
        <f t="shared" si="8"/>
        <v>4.5111111111111111</v>
      </c>
      <c r="Q8" s="92">
        <f t="shared" si="9"/>
        <v>4</v>
      </c>
      <c r="R8" s="92">
        <f t="shared" si="10"/>
        <v>-6</v>
      </c>
      <c r="S8" s="92">
        <f t="shared" si="11"/>
        <v>5</v>
      </c>
      <c r="T8" s="93">
        <f t="shared" si="12"/>
        <v>20</v>
      </c>
      <c r="U8" s="93">
        <f t="shared" si="13"/>
        <v>11</v>
      </c>
      <c r="V8" s="93">
        <f t="shared" si="14"/>
        <v>20</v>
      </c>
      <c r="W8" s="60">
        <f t="shared" si="0"/>
        <v>24</v>
      </c>
      <c r="X8" s="60">
        <f t="shared" si="1"/>
        <v>5</v>
      </c>
      <c r="Y8" s="60">
        <f t="shared" si="2"/>
        <v>25</v>
      </c>
      <c r="Z8" s="94">
        <f t="shared" ref="Z8:Z37" si="22">IF(Z$2="Stufe A",IF(AND(I8="Auswahl treffen",L8&gt;=0,L8&lt;=1000),J8,IF(AND(I8="Vermögend und ambulant",L8&gt;8,L8&lt;=1000),130,IF(AND(I8="Vermögend und ambulant",L8&gt;4,L8&lt;=8),158,IF(AND(I8="Vermögend und ambulant",L8&gt;2,L8&lt;=4),192,IF(AND(I8="Vermögend und ambulant",L8&gt;1,L8&lt;=2),208,IF(AND(I8="Vermögend und ambulant",L8&gt;0,L8&lt;=1),298,IF(AND(I8="Vermögend und stationär",L8&gt;8,L8&lt;=1000),78,IF(AND(I8="Vermögend und stationär",L8&gt;4,L8&lt;=8),91,IF(AND(I8="Vermögend und stationär",L8&gt;2,L8&lt;=4),140,IF(AND(I8="Vermögend und stationär",L8&gt;1,L8&lt;=2),158,IF(AND(I8="Vermögend und stationär",L8&gt;0,L8&lt;=1),200,IF(AND(I8="Mittellos und ambulant",L8&gt;8,L8&lt;=1000),105,IF(AND(I8="Mittellos und ambulant",L8&gt;4,L8&lt;=8),122,IF(AND(I8="Mittellos und ambulant",L8&gt;2,L8&lt;=4),151,IF(AND(I8="Mittellos und ambulant",L8&gt;1,L8&lt;=2),170,IF(AND(I8="Mittellos und ambulant",L8&gt;0,L8&lt;=1),208,IF(AND(I8="Mittellos und stationär",L8&gt;8,L8&lt;=1000),62,IF(AND(I8="Mittellos und stationär",L8&gt;4,L8&lt;=8),87,IF(AND(I8="Mittellos und stationär",L8&gt;2,L8&lt;=4),124,IF(AND(I8="Mittellos und stationär",L8&gt;1,L8&lt;=2),129,IF(AND(I8="Mittellos und stationär",L8&gt;0,L8&lt;=1),194,""))))))))))))))))))))),IF(Z$2="Stufe B",IF(AND(I8="Auswahl treffen",L8&gt;=0,L8&lt;=1000),J8,IF(AND(I8="Vermögend und ambulant",L8&gt;8,L8&lt;=1000),161,IF(AND(I8="Vermögend und ambulant",L8&gt;4,L8&lt;=8),196,IF(AND(I8="Vermögend und ambulant",L8&gt;2,L8&lt;=4),238,IF(AND(I8="Vermögend und ambulant",L8&gt;1,L8&lt;=2),258,IF(AND(I8="Vermögend und ambulant",L8&gt;0,L8&lt;=1),370,IF(AND(I8="Vermögend und stationär",L8&gt;8,L8&lt;=1000),96,IF(AND(I8="Vermögend und stationär",L8&gt;4,L8&lt;=8),113,IF(AND(I8="Vermögend und stationär",L8&gt;2,L8&lt;=4),174,IF(AND(I8="Vermögend und stationär",L8&gt;1,L8&lt;=2),196,IF(AND(I8="Vermögend und stationär",L8&gt;0,L8&lt;=1),249,IF(AND(I8="Mittellos und ambulant",L8&gt;8,L8&lt;=1000),130,IF(AND(I8="Mittellos und ambulant",L8&gt;4,L8&lt;=8),151,IF(AND(I8="Mittellos und ambulant",L8&gt;2,L8&lt;=4),188,IF(AND(I8="Mittellos und ambulant",L8&gt;1,L8&lt;=2),211,IF(AND(I8="Mittellos und ambulant",L8&gt;0,L8&lt;=1),258,IF(AND(I8="Mittellos und stationär",L8&gt;8,L8&lt;=1000),78,IF(AND(I8="Mittellos und stationär",L8&gt;4,L8&lt;=8),107,IF(AND(I8="Mittellos und stationär",L8&gt;2,L8&lt;=4),154,IF(AND(I8="Mittellos und stationär",L8&gt;1,L8&lt;=2),158,IF(AND(I8="Mittellos und stationär",L8&gt;0,L8&lt;=1),241,""))))))))))))))))))))),IF(Z$2="Stufe C",IF(AND(I8="Auswahl treffen",L8&gt;=0,L8&lt;=1000),J8,IF(AND(I8="Vermögend und ambulant",L8&gt;8,L8&lt;=1000),211,IF(AND(I8="Vermögend und ambulant",L8&gt;4,L8&lt;=8),257,IF(AND(I8="Vermögend und ambulant",L8&gt;2,L8&lt;=4),312,IF(AND(I8="Vermögend und ambulant",L8&gt;1,L8&lt;=2),339,IF(AND(I8="Vermögend und ambulant",L8&gt;0,L8&lt;=1),486,IF(AND(I8="Vermögend und stationär",L8&gt;8,L8&lt;=1000),127,IF(AND(I8="Vermögend und stationär",L8&gt;4,L8&lt;=8),149,IF(AND(I8="Vermögend und stationär",L8&gt;2,L8&lt;=4),229,IF(AND(I8="Vermögend und stationär",L8&gt;1,L8&lt;=2),257,IF(AND(I8="Vermögend und stationär",L8&gt;0,L8&lt;=1),327,IF(AND(I8="Mittellos und ambulant",L8&gt;8,L8&lt;=1000),171,IF(AND(I8="Mittellos und ambulant",L8&gt;4,L8&lt;=8),198,IF(AND(I8="Mittellos und ambulant",L8&gt;2,L8&lt;=4),246,IF(AND(I8="Mittellos und ambulant",L8&gt;1,L8&lt;=2),277,IF(AND(I8="Mittellos und ambulant",L8&gt;0,L8&lt;=1),339,IF(AND(I8="Mittellos und stationär",L8&gt;8,L8&lt;=1000),102,IF(AND(I8="Mittellos und stationär",L8&gt;4,L8&lt;=8),141,IF(AND(I8="Mittellos und stationär",L8&gt;2,L8&lt;=4),202,IF(AND(I8="Mittellos und stationär",L8&gt;1,L8&lt;=2),208,IF(AND(I8="Mittellos und stationär",L8&gt;0,L8&lt;=1),317,""))))))))))))))))))))),"")))</f>
        <v>102</v>
      </c>
      <c r="AA8" s="95" t="str">
        <f t="shared" si="15"/>
        <v>EUR</v>
      </c>
      <c r="AB8" s="84">
        <f t="shared" si="18"/>
        <v>0</v>
      </c>
      <c r="AC8" s="1310" t="str">
        <f t="shared" si="19"/>
        <v/>
      </c>
      <c r="AD8" s="85"/>
      <c r="AE8" s="45">
        <f t="shared" si="20"/>
        <v>25</v>
      </c>
      <c r="AF8" s="74">
        <f t="shared" si="21"/>
        <v>0</v>
      </c>
      <c r="AG8" s="86">
        <f t="shared" si="16"/>
        <v>7.5</v>
      </c>
      <c r="AH8" s="40"/>
      <c r="AI8" s="308" t="s">
        <v>90</v>
      </c>
      <c r="AJ8" s="311" t="str">
        <f>B108</f>
        <v>Amtsgericht Marsberg
Betreuungsgericht
Postfach 1555
34421 Marsberg</v>
      </c>
    </row>
    <row r="9" spans="1:36" ht="25" customHeight="1">
      <c r="A9" s="87">
        <v>4</v>
      </c>
      <c r="B9" s="742" t="s">
        <v>173</v>
      </c>
      <c r="C9" s="743" t="s">
        <v>174</v>
      </c>
      <c r="D9" s="744" t="s">
        <v>175</v>
      </c>
      <c r="E9" s="745">
        <v>1</v>
      </c>
      <c r="F9" s="745">
        <v>12</v>
      </c>
      <c r="G9" s="745">
        <v>20</v>
      </c>
      <c r="H9" s="746" t="s">
        <v>92</v>
      </c>
      <c r="I9" s="88" t="s">
        <v>14</v>
      </c>
      <c r="J9" s="467" t="str">
        <f t="shared" si="17"/>
        <v/>
      </c>
      <c r="K9" s="89">
        <f t="shared" si="3"/>
        <v>54</v>
      </c>
      <c r="L9" s="90">
        <f t="shared" si="4"/>
        <v>18</v>
      </c>
      <c r="M9" s="91">
        <f t="shared" si="5"/>
        <v>5</v>
      </c>
      <c r="N9" s="60">
        <f t="shared" si="6"/>
        <v>17.922222222222221</v>
      </c>
      <c r="O9" s="60">
        <f t="shared" si="7"/>
        <v>53.766666666666666</v>
      </c>
      <c r="P9" s="60">
        <f t="shared" si="8"/>
        <v>4.4805555555555552</v>
      </c>
      <c r="Q9" s="92">
        <f t="shared" si="9"/>
        <v>23</v>
      </c>
      <c r="R9" s="92">
        <f t="shared" si="10"/>
        <v>-7</v>
      </c>
      <c r="S9" s="92">
        <f t="shared" si="11"/>
        <v>5</v>
      </c>
      <c r="T9" s="93">
        <f t="shared" si="12"/>
        <v>1</v>
      </c>
      <c r="U9" s="93">
        <f t="shared" si="13"/>
        <v>12</v>
      </c>
      <c r="V9" s="93">
        <f t="shared" si="14"/>
        <v>20</v>
      </c>
      <c r="W9" s="60">
        <f t="shared" si="0"/>
        <v>24</v>
      </c>
      <c r="X9" s="60">
        <f t="shared" si="1"/>
        <v>5</v>
      </c>
      <c r="Y9" s="60">
        <f t="shared" si="2"/>
        <v>25</v>
      </c>
      <c r="Z9" s="94">
        <f t="shared" si="22"/>
        <v>127</v>
      </c>
      <c r="AA9" s="95" t="str">
        <f t="shared" si="15"/>
        <v>EUR</v>
      </c>
      <c r="AB9" s="84">
        <f t="shared" si="18"/>
        <v>0</v>
      </c>
      <c r="AC9" s="1310" t="str">
        <f t="shared" si="19"/>
        <v/>
      </c>
      <c r="AD9" s="85"/>
      <c r="AE9" s="45">
        <f t="shared" si="20"/>
        <v>25</v>
      </c>
      <c r="AF9" s="74">
        <f t="shared" si="21"/>
        <v>0</v>
      </c>
      <c r="AG9" s="86">
        <f t="shared" si="16"/>
        <v>7.5</v>
      </c>
      <c r="AH9" s="40"/>
      <c r="AI9" s="308" t="s">
        <v>91</v>
      </c>
      <c r="AJ9" s="311" t="str">
        <f t="shared" ref="AJ9:AJ10" si="23">B109</f>
        <v>Amtsgericht Brakel
Betreuungsgericht
Nieheimer Str. 17
33934 Brakel</v>
      </c>
    </row>
    <row r="10" spans="1:36" ht="25" customHeight="1">
      <c r="A10" s="87">
        <v>5</v>
      </c>
      <c r="B10" s="742" t="s">
        <v>176</v>
      </c>
      <c r="C10" s="743" t="s">
        <v>177</v>
      </c>
      <c r="D10" s="747" t="s">
        <v>178</v>
      </c>
      <c r="E10" s="745">
        <v>12</v>
      </c>
      <c r="F10" s="745">
        <v>12</v>
      </c>
      <c r="G10" s="745">
        <v>21</v>
      </c>
      <c r="H10" s="746" t="s">
        <v>93</v>
      </c>
      <c r="I10" s="88" t="s">
        <v>14</v>
      </c>
      <c r="J10" s="467" t="str">
        <f t="shared" si="17"/>
        <v/>
      </c>
      <c r="K10" s="89">
        <f t="shared" si="3"/>
        <v>42</v>
      </c>
      <c r="L10" s="90">
        <f t="shared" si="4"/>
        <v>14</v>
      </c>
      <c r="M10" s="91">
        <f t="shared" si="5"/>
        <v>4</v>
      </c>
      <c r="N10" s="60">
        <f t="shared" si="6"/>
        <v>13.799999999999999</v>
      </c>
      <c r="O10" s="60">
        <f t="shared" si="7"/>
        <v>41.4</v>
      </c>
      <c r="P10" s="60">
        <f t="shared" si="8"/>
        <v>3.4499999999999997</v>
      </c>
      <c r="Q10" s="92">
        <f t="shared" si="9"/>
        <v>12</v>
      </c>
      <c r="R10" s="92">
        <f t="shared" si="10"/>
        <v>-7</v>
      </c>
      <c r="S10" s="92">
        <f t="shared" si="11"/>
        <v>4</v>
      </c>
      <c r="T10" s="93">
        <f t="shared" si="12"/>
        <v>12</v>
      </c>
      <c r="U10" s="93">
        <f t="shared" si="13"/>
        <v>12</v>
      </c>
      <c r="V10" s="93">
        <f t="shared" si="14"/>
        <v>21</v>
      </c>
      <c r="W10" s="60">
        <f t="shared" si="0"/>
        <v>24</v>
      </c>
      <c r="X10" s="60">
        <f t="shared" si="1"/>
        <v>5</v>
      </c>
      <c r="Y10" s="60">
        <f t="shared" si="2"/>
        <v>25</v>
      </c>
      <c r="Z10" s="94">
        <f t="shared" si="22"/>
        <v>127</v>
      </c>
      <c r="AA10" s="95" t="str">
        <f t="shared" si="15"/>
        <v>EUR</v>
      </c>
      <c r="AB10" s="84">
        <f t="shared" si="18"/>
        <v>0</v>
      </c>
      <c r="AC10" s="1310" t="str">
        <f t="shared" si="19"/>
        <v/>
      </c>
      <c r="AD10" s="85"/>
      <c r="AE10" s="45">
        <f t="shared" si="20"/>
        <v>25</v>
      </c>
      <c r="AF10" s="74">
        <f t="shared" si="21"/>
        <v>0</v>
      </c>
      <c r="AG10" s="86">
        <f t="shared" si="16"/>
        <v>7.5</v>
      </c>
      <c r="AH10" s="40"/>
      <c r="AI10" s="308" t="s">
        <v>92</v>
      </c>
      <c r="AJ10" s="311" t="str">
        <f t="shared" si="23"/>
        <v xml:space="preserve">Amtsgericht Lennestadt 
Betreuungsgericht
Postfach 3040
57347 Lennestadt
</v>
      </c>
    </row>
    <row r="11" spans="1:36" ht="25" customHeight="1">
      <c r="A11" s="87">
        <v>6</v>
      </c>
      <c r="B11" s="742" t="s">
        <v>179</v>
      </c>
      <c r="C11" s="743" t="s">
        <v>180</v>
      </c>
      <c r="D11" s="744" t="s">
        <v>181</v>
      </c>
      <c r="E11" s="745">
        <v>22</v>
      </c>
      <c r="F11" s="745">
        <v>12</v>
      </c>
      <c r="G11" s="745">
        <v>21</v>
      </c>
      <c r="H11" s="746" t="s">
        <v>90</v>
      </c>
      <c r="I11" s="88" t="s">
        <v>201</v>
      </c>
      <c r="J11" s="467" t="str">
        <f t="shared" si="17"/>
        <v/>
      </c>
      <c r="K11" s="89">
        <f t="shared" si="3"/>
        <v>42</v>
      </c>
      <c r="L11" s="90">
        <f t="shared" si="4"/>
        <v>14</v>
      </c>
      <c r="M11" s="91">
        <f t="shared" si="5"/>
        <v>4</v>
      </c>
      <c r="N11" s="60">
        <f t="shared" si="6"/>
        <v>13.68888888888889</v>
      </c>
      <c r="O11" s="60">
        <f t="shared" si="7"/>
        <v>41.06666666666667</v>
      </c>
      <c r="P11" s="60">
        <f t="shared" si="8"/>
        <v>3.4222222222222225</v>
      </c>
      <c r="Q11" s="92">
        <f t="shared" si="9"/>
        <v>2</v>
      </c>
      <c r="R11" s="92">
        <f t="shared" si="10"/>
        <v>-7</v>
      </c>
      <c r="S11" s="92">
        <f t="shared" si="11"/>
        <v>4</v>
      </c>
      <c r="T11" s="93">
        <f t="shared" si="12"/>
        <v>22</v>
      </c>
      <c r="U11" s="93">
        <f t="shared" si="13"/>
        <v>12</v>
      </c>
      <c r="V11" s="93">
        <f t="shared" si="14"/>
        <v>21</v>
      </c>
      <c r="W11" s="60">
        <f t="shared" si="0"/>
        <v>24</v>
      </c>
      <c r="X11" s="60">
        <f t="shared" si="1"/>
        <v>5</v>
      </c>
      <c r="Y11" s="60">
        <f t="shared" si="2"/>
        <v>25</v>
      </c>
      <c r="Z11" s="94">
        <f t="shared" si="22"/>
        <v>211</v>
      </c>
      <c r="AA11" s="95" t="str">
        <f t="shared" si="15"/>
        <v>EUR</v>
      </c>
      <c r="AB11" s="84">
        <f t="shared" si="18"/>
        <v>0</v>
      </c>
      <c r="AC11" s="1310" t="str">
        <f t="shared" si="19"/>
        <v/>
      </c>
      <c r="AD11" s="85"/>
      <c r="AE11" s="45">
        <f t="shared" si="20"/>
        <v>25</v>
      </c>
      <c r="AF11" s="74">
        <f t="shared" si="21"/>
        <v>0</v>
      </c>
      <c r="AG11" s="86">
        <f t="shared" si="16"/>
        <v>7.5</v>
      </c>
      <c r="AH11" s="40"/>
      <c r="AI11" s="308" t="s">
        <v>93</v>
      </c>
      <c r="AJ11" s="311" t="str">
        <f>B111</f>
        <v>Amtsgericht Delbrück
Betreuungsgericht
Postfach 1161
33119 Delbrück</v>
      </c>
    </row>
    <row r="12" spans="1:36" ht="25" customHeight="1">
      <c r="A12" s="87">
        <v>7</v>
      </c>
      <c r="B12" s="742" t="s">
        <v>182</v>
      </c>
      <c r="C12" s="743" t="s">
        <v>183</v>
      </c>
      <c r="D12" s="744" t="s">
        <v>184</v>
      </c>
      <c r="E12" s="745">
        <v>29</v>
      </c>
      <c r="F12" s="745">
        <v>12</v>
      </c>
      <c r="G12" s="745">
        <v>21</v>
      </c>
      <c r="H12" s="746" t="s">
        <v>91</v>
      </c>
      <c r="I12" s="88" t="s">
        <v>16</v>
      </c>
      <c r="J12" s="467" t="str">
        <f t="shared" si="17"/>
        <v/>
      </c>
      <c r="K12" s="89">
        <f t="shared" si="3"/>
        <v>41</v>
      </c>
      <c r="L12" s="90">
        <f t="shared" si="4"/>
        <v>14</v>
      </c>
      <c r="M12" s="91">
        <f t="shared" si="5"/>
        <v>4</v>
      </c>
      <c r="N12" s="60">
        <f t="shared" si="6"/>
        <v>13.611111111111112</v>
      </c>
      <c r="O12" s="60">
        <f t="shared" si="7"/>
        <v>40.833333333333336</v>
      </c>
      <c r="P12" s="60">
        <f t="shared" si="8"/>
        <v>3.4027777777777781</v>
      </c>
      <c r="Q12" s="92">
        <f t="shared" si="9"/>
        <v>-5</v>
      </c>
      <c r="R12" s="92">
        <f t="shared" si="10"/>
        <v>-7</v>
      </c>
      <c r="S12" s="92">
        <f t="shared" si="11"/>
        <v>4</v>
      </c>
      <c r="T12" s="93">
        <f t="shared" si="12"/>
        <v>29</v>
      </c>
      <c r="U12" s="93">
        <f t="shared" si="13"/>
        <v>12</v>
      </c>
      <c r="V12" s="93">
        <f t="shared" si="14"/>
        <v>21</v>
      </c>
      <c r="W12" s="60">
        <f t="shared" si="0"/>
        <v>24</v>
      </c>
      <c r="X12" s="60">
        <f t="shared" si="1"/>
        <v>5</v>
      </c>
      <c r="Y12" s="60">
        <f t="shared" si="2"/>
        <v>25</v>
      </c>
      <c r="Z12" s="94">
        <f t="shared" si="22"/>
        <v>102</v>
      </c>
      <c r="AA12" s="95" t="str">
        <f t="shared" si="15"/>
        <v>EUR</v>
      </c>
      <c r="AB12" s="84">
        <f t="shared" si="18"/>
        <v>0</v>
      </c>
      <c r="AC12" s="1310" t="str">
        <f t="shared" si="19"/>
        <v/>
      </c>
      <c r="AD12" s="85"/>
      <c r="AE12" s="45">
        <f t="shared" si="20"/>
        <v>25</v>
      </c>
      <c r="AF12" s="74">
        <f t="shared" si="21"/>
        <v>0</v>
      </c>
      <c r="AG12" s="86">
        <f t="shared" si="16"/>
        <v>7.5</v>
      </c>
      <c r="AH12" s="40"/>
      <c r="AI12" s="308" t="s">
        <v>94</v>
      </c>
      <c r="AJ12" s="311" t="str">
        <f>B112</f>
        <v>Amtsgericht Detmold 
Betreuungsgericht
Postfach 1163 
32701 Detmold</v>
      </c>
    </row>
    <row r="13" spans="1:36" ht="25" customHeight="1">
      <c r="A13" s="87">
        <v>8</v>
      </c>
      <c r="B13" s="742" t="s">
        <v>185</v>
      </c>
      <c r="C13" s="743" t="s">
        <v>186</v>
      </c>
      <c r="D13" s="744" t="s">
        <v>187</v>
      </c>
      <c r="E13" s="745">
        <v>4</v>
      </c>
      <c r="F13" s="745">
        <v>1</v>
      </c>
      <c r="G13" s="745">
        <v>22</v>
      </c>
      <c r="H13" s="746" t="s">
        <v>92</v>
      </c>
      <c r="I13" s="88" t="s">
        <v>15</v>
      </c>
      <c r="J13" s="467" t="str">
        <f t="shared" si="17"/>
        <v/>
      </c>
      <c r="K13" s="89">
        <f t="shared" si="3"/>
        <v>41</v>
      </c>
      <c r="L13" s="90">
        <f t="shared" si="4"/>
        <v>14</v>
      </c>
      <c r="M13" s="91">
        <f t="shared" si="5"/>
        <v>4</v>
      </c>
      <c r="N13" s="60">
        <f t="shared" si="6"/>
        <v>13.555555555555555</v>
      </c>
      <c r="O13" s="60">
        <f t="shared" si="7"/>
        <v>40.666666666666664</v>
      </c>
      <c r="P13" s="60">
        <f t="shared" si="8"/>
        <v>3.3888888888888888</v>
      </c>
      <c r="Q13" s="92">
        <f t="shared" si="9"/>
        <v>20</v>
      </c>
      <c r="R13" s="92">
        <f t="shared" si="10"/>
        <v>4</v>
      </c>
      <c r="S13" s="92">
        <f t="shared" si="11"/>
        <v>3</v>
      </c>
      <c r="T13" s="93">
        <f t="shared" si="12"/>
        <v>4</v>
      </c>
      <c r="U13" s="93">
        <f t="shared" si="13"/>
        <v>1</v>
      </c>
      <c r="V13" s="93">
        <f t="shared" si="14"/>
        <v>22</v>
      </c>
      <c r="W13" s="60">
        <f t="shared" si="0"/>
        <v>24</v>
      </c>
      <c r="X13" s="60">
        <f t="shared" si="1"/>
        <v>5</v>
      </c>
      <c r="Y13" s="60">
        <f t="shared" si="2"/>
        <v>25</v>
      </c>
      <c r="Z13" s="94">
        <f t="shared" si="22"/>
        <v>171</v>
      </c>
      <c r="AA13" s="95" t="str">
        <f t="shared" si="15"/>
        <v>EUR</v>
      </c>
      <c r="AB13" s="84">
        <f t="shared" si="18"/>
        <v>0</v>
      </c>
      <c r="AC13" s="1310" t="str">
        <f t="shared" si="19"/>
        <v/>
      </c>
      <c r="AD13" s="85"/>
      <c r="AE13" s="45">
        <f t="shared" si="20"/>
        <v>25</v>
      </c>
      <c r="AF13" s="74">
        <f t="shared" si="21"/>
        <v>0</v>
      </c>
      <c r="AG13" s="86">
        <f t="shared" si="16"/>
        <v>7.5</v>
      </c>
      <c r="AH13" s="40"/>
      <c r="AI13" s="308" t="s">
        <v>95</v>
      </c>
      <c r="AJ13" s="311">
        <f t="shared" ref="AJ13:AJ25" si="24">B113</f>
        <v>0</v>
      </c>
    </row>
    <row r="14" spans="1:36" ht="25" customHeight="1">
      <c r="A14" s="87">
        <v>9</v>
      </c>
      <c r="B14" s="742" t="s">
        <v>188</v>
      </c>
      <c r="C14" s="743" t="s">
        <v>189</v>
      </c>
      <c r="D14" s="748" t="s">
        <v>190</v>
      </c>
      <c r="E14" s="745">
        <v>4</v>
      </c>
      <c r="F14" s="745">
        <v>5</v>
      </c>
      <c r="G14" s="745">
        <v>22</v>
      </c>
      <c r="H14" s="746" t="s">
        <v>93</v>
      </c>
      <c r="I14" s="88" t="s">
        <v>14</v>
      </c>
      <c r="J14" s="467" t="str">
        <f t="shared" si="17"/>
        <v/>
      </c>
      <c r="K14" s="89">
        <f t="shared" si="3"/>
        <v>37</v>
      </c>
      <c r="L14" s="90">
        <f t="shared" si="4"/>
        <v>13</v>
      </c>
      <c r="M14" s="91">
        <f t="shared" si="5"/>
        <v>4</v>
      </c>
      <c r="N14" s="60">
        <f t="shared" si="6"/>
        <v>12.222222222222221</v>
      </c>
      <c r="O14" s="60">
        <f t="shared" si="7"/>
        <v>36.666666666666664</v>
      </c>
      <c r="P14" s="60">
        <f t="shared" si="8"/>
        <v>3.0555555555555554</v>
      </c>
      <c r="Q14" s="92">
        <f t="shared" si="9"/>
        <v>20</v>
      </c>
      <c r="R14" s="92">
        <f t="shared" si="10"/>
        <v>0</v>
      </c>
      <c r="S14" s="92">
        <f t="shared" si="11"/>
        <v>3</v>
      </c>
      <c r="T14" s="93">
        <f t="shared" si="12"/>
        <v>4</v>
      </c>
      <c r="U14" s="93">
        <f t="shared" si="13"/>
        <v>5</v>
      </c>
      <c r="V14" s="93">
        <f t="shared" si="14"/>
        <v>22</v>
      </c>
      <c r="W14" s="60">
        <f t="shared" si="0"/>
        <v>24</v>
      </c>
      <c r="X14" s="60">
        <f t="shared" si="1"/>
        <v>5</v>
      </c>
      <c r="Y14" s="60">
        <f t="shared" si="2"/>
        <v>25</v>
      </c>
      <c r="Z14" s="94">
        <f t="shared" si="22"/>
        <v>127</v>
      </c>
      <c r="AA14" s="95" t="str">
        <f t="shared" si="15"/>
        <v>EUR</v>
      </c>
      <c r="AB14" s="84">
        <f t="shared" si="18"/>
        <v>0</v>
      </c>
      <c r="AC14" s="1310" t="str">
        <f t="shared" si="19"/>
        <v/>
      </c>
      <c r="AD14" s="85"/>
      <c r="AE14" s="45">
        <f t="shared" si="20"/>
        <v>25</v>
      </c>
      <c r="AF14" s="74">
        <f t="shared" si="21"/>
        <v>0</v>
      </c>
      <c r="AG14" s="86">
        <f t="shared" si="16"/>
        <v>7.5</v>
      </c>
      <c r="AH14" s="40"/>
      <c r="AI14" s="308" t="s">
        <v>96</v>
      </c>
      <c r="AJ14" s="311" t="str">
        <f t="shared" si="24"/>
        <v xml:space="preserve">Amtsgericht Musterstadt
Betreuungsabteilung
Postfach 1234
</v>
      </c>
    </row>
    <row r="15" spans="1:36" ht="25" customHeight="1">
      <c r="A15" s="87">
        <v>10</v>
      </c>
      <c r="B15" s="742" t="s">
        <v>191</v>
      </c>
      <c r="C15" s="743" t="s">
        <v>192</v>
      </c>
      <c r="D15" s="744" t="s">
        <v>193</v>
      </c>
      <c r="E15" s="745">
        <v>7</v>
      </c>
      <c r="F15" s="745">
        <v>5</v>
      </c>
      <c r="G15" s="745">
        <v>22</v>
      </c>
      <c r="H15" s="746" t="s">
        <v>92</v>
      </c>
      <c r="I15" s="88" t="s">
        <v>16</v>
      </c>
      <c r="J15" s="467" t="str">
        <f t="shared" si="17"/>
        <v/>
      </c>
      <c r="K15" s="89">
        <f t="shared" si="3"/>
        <v>37</v>
      </c>
      <c r="L15" s="90">
        <f t="shared" si="4"/>
        <v>13</v>
      </c>
      <c r="M15" s="91">
        <f t="shared" si="5"/>
        <v>4</v>
      </c>
      <c r="N15" s="60">
        <f t="shared" si="6"/>
        <v>12.18888888888889</v>
      </c>
      <c r="O15" s="60">
        <f t="shared" si="7"/>
        <v>36.56666666666667</v>
      </c>
      <c r="P15" s="60">
        <f t="shared" si="8"/>
        <v>3.0472222222222225</v>
      </c>
      <c r="Q15" s="92">
        <f t="shared" si="9"/>
        <v>17</v>
      </c>
      <c r="R15" s="92">
        <f t="shared" si="10"/>
        <v>0</v>
      </c>
      <c r="S15" s="92">
        <f t="shared" si="11"/>
        <v>3</v>
      </c>
      <c r="T15" s="93">
        <f t="shared" si="12"/>
        <v>7</v>
      </c>
      <c r="U15" s="93">
        <f t="shared" si="13"/>
        <v>5</v>
      </c>
      <c r="V15" s="93">
        <f t="shared" si="14"/>
        <v>22</v>
      </c>
      <c r="W15" s="60">
        <f t="shared" si="0"/>
        <v>24</v>
      </c>
      <c r="X15" s="60">
        <f t="shared" si="1"/>
        <v>5</v>
      </c>
      <c r="Y15" s="60">
        <f t="shared" si="2"/>
        <v>25</v>
      </c>
      <c r="Z15" s="94">
        <f t="shared" si="22"/>
        <v>102</v>
      </c>
      <c r="AA15" s="95" t="str">
        <f t="shared" si="15"/>
        <v>EUR</v>
      </c>
      <c r="AB15" s="84">
        <f t="shared" si="18"/>
        <v>0</v>
      </c>
      <c r="AC15" s="1310" t="str">
        <f t="shared" si="19"/>
        <v/>
      </c>
      <c r="AD15" s="85"/>
      <c r="AE15" s="45">
        <f t="shared" si="20"/>
        <v>25</v>
      </c>
      <c r="AF15" s="74">
        <f t="shared" si="21"/>
        <v>0</v>
      </c>
      <c r="AG15" s="86">
        <f t="shared" si="16"/>
        <v>7.5</v>
      </c>
      <c r="AH15" s="40"/>
      <c r="AI15" s="308" t="s">
        <v>97</v>
      </c>
      <c r="AJ15" s="311" t="str">
        <f t="shared" si="24"/>
        <v xml:space="preserve">Amtsgericht Musterstadt
Betreuungsabteilung
Postfach 1234
</v>
      </c>
    </row>
    <row r="16" spans="1:36" ht="25" customHeight="1">
      <c r="A16" s="87">
        <v>11</v>
      </c>
      <c r="B16" s="742" t="s">
        <v>194</v>
      </c>
      <c r="C16" s="743" t="s">
        <v>195</v>
      </c>
      <c r="D16" s="744" t="s">
        <v>196</v>
      </c>
      <c r="E16" s="745">
        <v>21</v>
      </c>
      <c r="F16" s="745">
        <v>5</v>
      </c>
      <c r="G16" s="745">
        <v>23</v>
      </c>
      <c r="H16" s="749" t="s">
        <v>90</v>
      </c>
      <c r="I16" s="88" t="s">
        <v>16</v>
      </c>
      <c r="J16" s="467" t="str">
        <f t="shared" si="17"/>
        <v/>
      </c>
      <c r="K16" s="89">
        <f t="shared" si="3"/>
        <v>25</v>
      </c>
      <c r="L16" s="90">
        <f t="shared" si="4"/>
        <v>9</v>
      </c>
      <c r="M16" s="91">
        <f t="shared" si="5"/>
        <v>3</v>
      </c>
      <c r="N16" s="60">
        <f t="shared" si="6"/>
        <v>8.0333333333333332</v>
      </c>
      <c r="O16" s="60">
        <f t="shared" si="7"/>
        <v>24.1</v>
      </c>
      <c r="P16" s="60">
        <f t="shared" si="8"/>
        <v>2.0083333333333333</v>
      </c>
      <c r="Q16" s="92">
        <f t="shared" si="9"/>
        <v>3</v>
      </c>
      <c r="R16" s="92">
        <f t="shared" si="10"/>
        <v>0</v>
      </c>
      <c r="S16" s="92">
        <f t="shared" si="11"/>
        <v>2</v>
      </c>
      <c r="T16" s="93">
        <f t="shared" si="12"/>
        <v>21</v>
      </c>
      <c r="U16" s="93">
        <f t="shared" si="13"/>
        <v>5</v>
      </c>
      <c r="V16" s="93">
        <f t="shared" si="14"/>
        <v>23</v>
      </c>
      <c r="W16" s="60">
        <f t="shared" si="0"/>
        <v>24</v>
      </c>
      <c r="X16" s="60">
        <f t="shared" si="1"/>
        <v>5</v>
      </c>
      <c r="Y16" s="60">
        <f t="shared" si="2"/>
        <v>25</v>
      </c>
      <c r="Z16" s="94">
        <f t="shared" si="22"/>
        <v>102</v>
      </c>
      <c r="AA16" s="95" t="str">
        <f t="shared" si="15"/>
        <v>EUR</v>
      </c>
      <c r="AB16" s="84">
        <f t="shared" si="18"/>
        <v>0</v>
      </c>
      <c r="AC16" s="1310" t="str">
        <f t="shared" si="19"/>
        <v/>
      </c>
      <c r="AD16" s="85"/>
      <c r="AE16" s="45">
        <f t="shared" si="20"/>
        <v>25</v>
      </c>
      <c r="AF16" s="74">
        <f t="shared" si="21"/>
        <v>0</v>
      </c>
      <c r="AG16" s="86">
        <f t="shared" si="16"/>
        <v>7.5</v>
      </c>
      <c r="AH16" s="40"/>
      <c r="AI16" s="308" t="s">
        <v>98</v>
      </c>
      <c r="AJ16" s="311">
        <f t="shared" si="24"/>
        <v>0</v>
      </c>
    </row>
    <row r="17" spans="1:36" ht="25" customHeight="1">
      <c r="A17" s="87">
        <v>12</v>
      </c>
      <c r="B17" s="742" t="s">
        <v>197</v>
      </c>
      <c r="C17" s="743" t="s">
        <v>198</v>
      </c>
      <c r="D17" s="744" t="s">
        <v>199</v>
      </c>
      <c r="E17" s="745">
        <v>23</v>
      </c>
      <c r="F17" s="745">
        <v>1</v>
      </c>
      <c r="G17" s="745">
        <v>24</v>
      </c>
      <c r="H17" s="746" t="s">
        <v>91</v>
      </c>
      <c r="I17" s="88" t="s">
        <v>15</v>
      </c>
      <c r="J17" s="467" t="str">
        <f t="shared" si="17"/>
        <v/>
      </c>
      <c r="K17" s="89">
        <f t="shared" si="3"/>
        <v>17</v>
      </c>
      <c r="L17" s="90">
        <f t="shared" si="4"/>
        <v>6</v>
      </c>
      <c r="M17" s="91">
        <f t="shared" si="5"/>
        <v>2</v>
      </c>
      <c r="N17" s="60">
        <f t="shared" si="6"/>
        <v>5.344444444444445</v>
      </c>
      <c r="O17" s="60">
        <f t="shared" si="7"/>
        <v>16.033333333333335</v>
      </c>
      <c r="P17" s="60">
        <f t="shared" si="8"/>
        <v>1.3361111111111112</v>
      </c>
      <c r="Q17" s="92">
        <f t="shared" si="9"/>
        <v>1</v>
      </c>
      <c r="R17" s="92">
        <f t="shared" si="10"/>
        <v>4</v>
      </c>
      <c r="S17" s="92">
        <f t="shared" si="11"/>
        <v>1</v>
      </c>
      <c r="T17" s="93">
        <f t="shared" si="12"/>
        <v>23</v>
      </c>
      <c r="U17" s="93">
        <f t="shared" si="13"/>
        <v>1</v>
      </c>
      <c r="V17" s="93">
        <f t="shared" si="14"/>
        <v>24</v>
      </c>
      <c r="W17" s="60">
        <f t="shared" si="0"/>
        <v>24</v>
      </c>
      <c r="X17" s="60">
        <f t="shared" si="1"/>
        <v>5</v>
      </c>
      <c r="Y17" s="60">
        <f t="shared" si="2"/>
        <v>25</v>
      </c>
      <c r="Z17" s="94">
        <f t="shared" si="22"/>
        <v>198</v>
      </c>
      <c r="AA17" s="95" t="str">
        <f t="shared" si="15"/>
        <v>EUR</v>
      </c>
      <c r="AB17" s="84">
        <f t="shared" si="18"/>
        <v>0</v>
      </c>
      <c r="AC17" s="1310" t="str">
        <f t="shared" si="19"/>
        <v/>
      </c>
      <c r="AD17" s="85"/>
      <c r="AE17" s="45">
        <f t="shared" si="20"/>
        <v>25</v>
      </c>
      <c r="AF17" s="74">
        <f t="shared" si="21"/>
        <v>0</v>
      </c>
      <c r="AG17" s="86">
        <f t="shared" si="16"/>
        <v>7.5</v>
      </c>
      <c r="AH17" s="40"/>
      <c r="AI17" s="308" t="s">
        <v>99</v>
      </c>
      <c r="AJ17" s="311">
        <f t="shared" si="24"/>
        <v>0</v>
      </c>
    </row>
    <row r="18" spans="1:36" ht="25" customHeight="1">
      <c r="A18" s="87">
        <v>13</v>
      </c>
      <c r="B18" s="750" t="s">
        <v>203</v>
      </c>
      <c r="C18" s="751"/>
      <c r="D18" s="752"/>
      <c r="E18" s="751"/>
      <c r="F18" s="751"/>
      <c r="G18" s="751"/>
      <c r="H18" s="746" t="s">
        <v>89</v>
      </c>
      <c r="I18" s="88" t="s">
        <v>157</v>
      </c>
      <c r="J18" s="467" t="str">
        <f t="shared" si="17"/>
        <v/>
      </c>
      <c r="K18" s="89">
        <f t="shared" si="3"/>
        <v>306</v>
      </c>
      <c r="L18" s="90">
        <f t="shared" si="4"/>
        <v>102</v>
      </c>
      <c r="M18" s="91">
        <f t="shared" si="5"/>
        <v>26</v>
      </c>
      <c r="N18" s="60">
        <f t="shared" si="6"/>
        <v>101.93333333333334</v>
      </c>
      <c r="O18" s="60">
        <f t="shared" si="7"/>
        <v>305.8</v>
      </c>
      <c r="P18" s="60">
        <f t="shared" si="8"/>
        <v>25.483333333333334</v>
      </c>
      <c r="Q18" s="92">
        <f t="shared" si="9"/>
        <v>24</v>
      </c>
      <c r="R18" s="92">
        <f t="shared" si="10"/>
        <v>5</v>
      </c>
      <c r="S18" s="92">
        <f t="shared" si="11"/>
        <v>25</v>
      </c>
      <c r="T18" s="93">
        <f t="shared" si="12"/>
        <v>0</v>
      </c>
      <c r="U18" s="93">
        <f t="shared" si="13"/>
        <v>0</v>
      </c>
      <c r="V18" s="93">
        <f t="shared" si="14"/>
        <v>0</v>
      </c>
      <c r="W18" s="60">
        <f t="shared" si="0"/>
        <v>24</v>
      </c>
      <c r="X18" s="60">
        <f t="shared" si="1"/>
        <v>5</v>
      </c>
      <c r="Y18" s="60">
        <f t="shared" si="2"/>
        <v>25</v>
      </c>
      <c r="Z18" s="94" t="str">
        <f t="shared" si="22"/>
        <v/>
      </c>
      <c r="AA18" s="95" t="str">
        <f t="shared" si="15"/>
        <v/>
      </c>
      <c r="AB18" s="84">
        <f t="shared" si="18"/>
        <v>0</v>
      </c>
      <c r="AC18" s="1310" t="str">
        <f t="shared" si="19"/>
        <v/>
      </c>
      <c r="AD18" s="85"/>
      <c r="AE18" s="45">
        <f t="shared" si="20"/>
        <v>25</v>
      </c>
      <c r="AF18" s="74">
        <f t="shared" si="21"/>
        <v>0</v>
      </c>
      <c r="AG18" s="86" t="str">
        <f t="shared" si="16"/>
        <v/>
      </c>
      <c r="AH18" s="40"/>
      <c r="AI18" s="308" t="s">
        <v>100</v>
      </c>
      <c r="AJ18" s="311">
        <f t="shared" si="24"/>
        <v>0</v>
      </c>
    </row>
    <row r="19" spans="1:36" ht="25" customHeight="1">
      <c r="A19" s="87">
        <v>14</v>
      </c>
      <c r="B19" s="750"/>
      <c r="C19" s="751"/>
      <c r="D19" s="752"/>
      <c r="E19" s="751"/>
      <c r="F19" s="751"/>
      <c r="G19" s="751"/>
      <c r="H19" s="746" t="s">
        <v>89</v>
      </c>
      <c r="I19" s="88" t="s">
        <v>157</v>
      </c>
      <c r="J19" s="467" t="str">
        <f t="shared" si="17"/>
        <v/>
      </c>
      <c r="K19" s="89">
        <f t="shared" si="3"/>
        <v>306</v>
      </c>
      <c r="L19" s="90">
        <f t="shared" si="4"/>
        <v>102</v>
      </c>
      <c r="M19" s="91">
        <f t="shared" si="5"/>
        <v>26</v>
      </c>
      <c r="N19" s="60">
        <f t="shared" si="6"/>
        <v>101.93333333333334</v>
      </c>
      <c r="O19" s="60">
        <f t="shared" si="7"/>
        <v>305.8</v>
      </c>
      <c r="P19" s="60">
        <f t="shared" si="8"/>
        <v>25.483333333333334</v>
      </c>
      <c r="Q19" s="92">
        <f t="shared" si="9"/>
        <v>24</v>
      </c>
      <c r="R19" s="92">
        <f t="shared" si="10"/>
        <v>5</v>
      </c>
      <c r="S19" s="92">
        <f t="shared" si="11"/>
        <v>25</v>
      </c>
      <c r="T19" s="93">
        <f t="shared" si="12"/>
        <v>0</v>
      </c>
      <c r="U19" s="93">
        <f t="shared" si="13"/>
        <v>0</v>
      </c>
      <c r="V19" s="93">
        <f t="shared" si="14"/>
        <v>0</v>
      </c>
      <c r="W19" s="60">
        <f t="shared" si="0"/>
        <v>24</v>
      </c>
      <c r="X19" s="60">
        <f t="shared" si="1"/>
        <v>5</v>
      </c>
      <c r="Y19" s="60">
        <f t="shared" si="2"/>
        <v>25</v>
      </c>
      <c r="Z19" s="94" t="str">
        <f t="shared" si="22"/>
        <v/>
      </c>
      <c r="AA19" s="95" t="str">
        <f t="shared" si="15"/>
        <v/>
      </c>
      <c r="AB19" s="84">
        <f t="shared" si="18"/>
        <v>0</v>
      </c>
      <c r="AC19" s="1310" t="str">
        <f t="shared" si="19"/>
        <v/>
      </c>
      <c r="AD19" s="85"/>
      <c r="AE19" s="45">
        <f t="shared" si="20"/>
        <v>25</v>
      </c>
      <c r="AF19" s="74">
        <f t="shared" si="21"/>
        <v>0</v>
      </c>
      <c r="AG19" s="86" t="str">
        <f t="shared" si="16"/>
        <v/>
      </c>
      <c r="AH19" s="40"/>
      <c r="AI19" s="308" t="s">
        <v>101</v>
      </c>
      <c r="AJ19" s="311">
        <f t="shared" si="24"/>
        <v>0</v>
      </c>
    </row>
    <row r="20" spans="1:36" ht="25" customHeight="1">
      <c r="A20" s="87">
        <v>15</v>
      </c>
      <c r="B20" s="750"/>
      <c r="C20" s="751"/>
      <c r="D20" s="752"/>
      <c r="E20" s="751"/>
      <c r="F20" s="751"/>
      <c r="G20" s="751"/>
      <c r="H20" s="746" t="s">
        <v>89</v>
      </c>
      <c r="I20" s="88" t="s">
        <v>157</v>
      </c>
      <c r="J20" s="467" t="str">
        <f t="shared" si="17"/>
        <v/>
      </c>
      <c r="K20" s="89">
        <f t="shared" si="3"/>
        <v>306</v>
      </c>
      <c r="L20" s="90">
        <f t="shared" si="4"/>
        <v>102</v>
      </c>
      <c r="M20" s="91">
        <f t="shared" si="5"/>
        <v>26</v>
      </c>
      <c r="N20" s="60">
        <f t="shared" si="6"/>
        <v>101.93333333333334</v>
      </c>
      <c r="O20" s="60">
        <f t="shared" si="7"/>
        <v>305.8</v>
      </c>
      <c r="P20" s="60">
        <f t="shared" si="8"/>
        <v>25.483333333333334</v>
      </c>
      <c r="Q20" s="92">
        <f t="shared" si="9"/>
        <v>24</v>
      </c>
      <c r="R20" s="92">
        <f t="shared" si="10"/>
        <v>5</v>
      </c>
      <c r="S20" s="92">
        <f t="shared" si="11"/>
        <v>25</v>
      </c>
      <c r="T20" s="93">
        <f t="shared" si="12"/>
        <v>0</v>
      </c>
      <c r="U20" s="93">
        <f t="shared" si="13"/>
        <v>0</v>
      </c>
      <c r="V20" s="93">
        <f t="shared" si="14"/>
        <v>0</v>
      </c>
      <c r="W20" s="60">
        <f t="shared" si="0"/>
        <v>24</v>
      </c>
      <c r="X20" s="60">
        <f t="shared" si="1"/>
        <v>5</v>
      </c>
      <c r="Y20" s="60">
        <f t="shared" si="2"/>
        <v>25</v>
      </c>
      <c r="Z20" s="94" t="str">
        <f t="shared" si="22"/>
        <v/>
      </c>
      <c r="AA20" s="95" t="str">
        <f t="shared" si="15"/>
        <v/>
      </c>
      <c r="AB20" s="84">
        <f t="shared" si="18"/>
        <v>0</v>
      </c>
      <c r="AC20" s="1310" t="str">
        <f t="shared" si="19"/>
        <v/>
      </c>
      <c r="AD20" s="85"/>
      <c r="AE20" s="45">
        <f t="shared" si="20"/>
        <v>25</v>
      </c>
      <c r="AF20" s="74">
        <f t="shared" si="21"/>
        <v>0</v>
      </c>
      <c r="AG20" s="86" t="str">
        <f t="shared" si="16"/>
        <v/>
      </c>
      <c r="AH20" s="40"/>
      <c r="AI20" s="308" t="s">
        <v>102</v>
      </c>
      <c r="AJ20" s="311">
        <f t="shared" si="24"/>
        <v>0</v>
      </c>
    </row>
    <row r="21" spans="1:36" ht="25" customHeight="1">
      <c r="A21" s="87">
        <v>16</v>
      </c>
      <c r="B21" s="750"/>
      <c r="C21" s="751"/>
      <c r="D21" s="752"/>
      <c r="E21" s="751"/>
      <c r="F21" s="751"/>
      <c r="G21" s="751"/>
      <c r="H21" s="746" t="s">
        <v>89</v>
      </c>
      <c r="I21" s="88" t="s">
        <v>157</v>
      </c>
      <c r="J21" s="467" t="str">
        <f t="shared" si="17"/>
        <v/>
      </c>
      <c r="K21" s="89">
        <f t="shared" si="3"/>
        <v>306</v>
      </c>
      <c r="L21" s="90">
        <f t="shared" si="4"/>
        <v>102</v>
      </c>
      <c r="M21" s="91">
        <f t="shared" si="5"/>
        <v>26</v>
      </c>
      <c r="N21" s="60">
        <f t="shared" si="6"/>
        <v>101.93333333333334</v>
      </c>
      <c r="O21" s="60">
        <f t="shared" si="7"/>
        <v>305.8</v>
      </c>
      <c r="P21" s="60">
        <f t="shared" si="8"/>
        <v>25.483333333333334</v>
      </c>
      <c r="Q21" s="92">
        <f t="shared" si="9"/>
        <v>24</v>
      </c>
      <c r="R21" s="92">
        <f t="shared" si="10"/>
        <v>5</v>
      </c>
      <c r="S21" s="92">
        <f t="shared" si="11"/>
        <v>25</v>
      </c>
      <c r="T21" s="93">
        <f t="shared" si="12"/>
        <v>0</v>
      </c>
      <c r="U21" s="93">
        <f t="shared" si="13"/>
        <v>0</v>
      </c>
      <c r="V21" s="93">
        <f t="shared" si="14"/>
        <v>0</v>
      </c>
      <c r="W21" s="60">
        <f t="shared" si="0"/>
        <v>24</v>
      </c>
      <c r="X21" s="60">
        <f t="shared" si="1"/>
        <v>5</v>
      </c>
      <c r="Y21" s="60">
        <f t="shared" si="2"/>
        <v>25</v>
      </c>
      <c r="Z21" s="94" t="str">
        <f t="shared" si="22"/>
        <v/>
      </c>
      <c r="AA21" s="95" t="str">
        <f t="shared" si="15"/>
        <v/>
      </c>
      <c r="AB21" s="84">
        <f t="shared" si="18"/>
        <v>0</v>
      </c>
      <c r="AC21" s="1310" t="str">
        <f t="shared" si="19"/>
        <v/>
      </c>
      <c r="AD21" s="85"/>
      <c r="AE21" s="45">
        <f t="shared" si="20"/>
        <v>25</v>
      </c>
      <c r="AF21" s="74">
        <f t="shared" si="21"/>
        <v>0</v>
      </c>
      <c r="AG21" s="86" t="str">
        <f t="shared" si="16"/>
        <v/>
      </c>
      <c r="AH21" s="40"/>
      <c r="AI21" s="308" t="s">
        <v>103</v>
      </c>
      <c r="AJ21" s="311">
        <f t="shared" si="24"/>
        <v>0</v>
      </c>
    </row>
    <row r="22" spans="1:36" ht="25" customHeight="1">
      <c r="A22" s="87">
        <v>17</v>
      </c>
      <c r="B22" s="750"/>
      <c r="C22" s="751"/>
      <c r="D22" s="753"/>
      <c r="E22" s="751"/>
      <c r="F22" s="751"/>
      <c r="G22" s="751"/>
      <c r="H22" s="746" t="s">
        <v>89</v>
      </c>
      <c r="I22" s="88" t="s">
        <v>157</v>
      </c>
      <c r="J22" s="467" t="str">
        <f t="shared" si="17"/>
        <v/>
      </c>
      <c r="K22" s="89">
        <f t="shared" si="3"/>
        <v>306</v>
      </c>
      <c r="L22" s="90">
        <f t="shared" si="4"/>
        <v>102</v>
      </c>
      <c r="M22" s="91">
        <f t="shared" si="5"/>
        <v>26</v>
      </c>
      <c r="N22" s="60">
        <f t="shared" si="6"/>
        <v>101.93333333333334</v>
      </c>
      <c r="O22" s="60">
        <f t="shared" si="7"/>
        <v>305.8</v>
      </c>
      <c r="P22" s="60">
        <f t="shared" si="8"/>
        <v>25.483333333333334</v>
      </c>
      <c r="Q22" s="92">
        <f t="shared" si="9"/>
        <v>24</v>
      </c>
      <c r="R22" s="92">
        <f t="shared" si="10"/>
        <v>5</v>
      </c>
      <c r="S22" s="92">
        <f t="shared" si="11"/>
        <v>25</v>
      </c>
      <c r="T22" s="93">
        <f t="shared" si="12"/>
        <v>0</v>
      </c>
      <c r="U22" s="93">
        <f t="shared" si="13"/>
        <v>0</v>
      </c>
      <c r="V22" s="93">
        <f t="shared" si="14"/>
        <v>0</v>
      </c>
      <c r="W22" s="60">
        <f t="shared" si="0"/>
        <v>24</v>
      </c>
      <c r="X22" s="60">
        <f t="shared" si="1"/>
        <v>5</v>
      </c>
      <c r="Y22" s="60">
        <f t="shared" si="2"/>
        <v>25</v>
      </c>
      <c r="Z22" s="94" t="str">
        <f t="shared" si="22"/>
        <v/>
      </c>
      <c r="AA22" s="95" t="str">
        <f t="shared" si="15"/>
        <v/>
      </c>
      <c r="AB22" s="84">
        <f t="shared" si="18"/>
        <v>0</v>
      </c>
      <c r="AC22" s="1310" t="str">
        <f t="shared" si="19"/>
        <v/>
      </c>
      <c r="AD22" s="85"/>
      <c r="AE22" s="45">
        <f t="shared" si="20"/>
        <v>25</v>
      </c>
      <c r="AF22" s="74">
        <f t="shared" si="21"/>
        <v>0</v>
      </c>
      <c r="AG22" s="86" t="str">
        <f t="shared" si="16"/>
        <v/>
      </c>
      <c r="AH22" s="40"/>
      <c r="AI22" s="308" t="s">
        <v>107</v>
      </c>
      <c r="AJ22" s="311">
        <f t="shared" si="24"/>
        <v>0</v>
      </c>
    </row>
    <row r="23" spans="1:36" ht="25" customHeight="1">
      <c r="A23" s="87">
        <v>18</v>
      </c>
      <c r="B23" s="750"/>
      <c r="C23" s="751"/>
      <c r="D23" s="752"/>
      <c r="E23" s="751"/>
      <c r="F23" s="751"/>
      <c r="G23" s="751"/>
      <c r="H23" s="746" t="s">
        <v>89</v>
      </c>
      <c r="I23" s="88" t="s">
        <v>157</v>
      </c>
      <c r="J23" s="467" t="str">
        <f t="shared" si="17"/>
        <v/>
      </c>
      <c r="K23" s="89">
        <f t="shared" si="3"/>
        <v>306</v>
      </c>
      <c r="L23" s="90">
        <f t="shared" si="4"/>
        <v>102</v>
      </c>
      <c r="M23" s="91">
        <f t="shared" si="5"/>
        <v>26</v>
      </c>
      <c r="N23" s="60">
        <f t="shared" si="6"/>
        <v>101.93333333333334</v>
      </c>
      <c r="O23" s="60">
        <f t="shared" si="7"/>
        <v>305.8</v>
      </c>
      <c r="P23" s="60">
        <f t="shared" si="8"/>
        <v>25.483333333333334</v>
      </c>
      <c r="Q23" s="92">
        <f t="shared" si="9"/>
        <v>24</v>
      </c>
      <c r="R23" s="92">
        <f t="shared" si="10"/>
        <v>5</v>
      </c>
      <c r="S23" s="92">
        <f t="shared" si="11"/>
        <v>25</v>
      </c>
      <c r="T23" s="93">
        <f t="shared" si="12"/>
        <v>0</v>
      </c>
      <c r="U23" s="93">
        <f t="shared" si="13"/>
        <v>0</v>
      </c>
      <c r="V23" s="93">
        <f t="shared" si="14"/>
        <v>0</v>
      </c>
      <c r="W23" s="60">
        <f t="shared" si="0"/>
        <v>24</v>
      </c>
      <c r="X23" s="60">
        <f t="shared" si="1"/>
        <v>5</v>
      </c>
      <c r="Y23" s="60">
        <f t="shared" si="2"/>
        <v>25</v>
      </c>
      <c r="Z23" s="94" t="str">
        <f t="shared" si="22"/>
        <v/>
      </c>
      <c r="AA23" s="95" t="str">
        <f t="shared" si="15"/>
        <v/>
      </c>
      <c r="AB23" s="84">
        <f t="shared" si="18"/>
        <v>0</v>
      </c>
      <c r="AC23" s="1310" t="str">
        <f t="shared" si="19"/>
        <v/>
      </c>
      <c r="AD23" s="85"/>
      <c r="AE23" s="45">
        <f t="shared" si="20"/>
        <v>25</v>
      </c>
      <c r="AF23" s="74">
        <f t="shared" si="21"/>
        <v>0</v>
      </c>
      <c r="AG23" s="86" t="str">
        <f t="shared" si="16"/>
        <v/>
      </c>
      <c r="AH23" s="40"/>
      <c r="AI23" s="308" t="s">
        <v>108</v>
      </c>
      <c r="AJ23" s="311">
        <f t="shared" si="24"/>
        <v>0</v>
      </c>
    </row>
    <row r="24" spans="1:36" ht="25" customHeight="1">
      <c r="A24" s="87">
        <v>19</v>
      </c>
      <c r="B24" s="754"/>
      <c r="C24" s="755"/>
      <c r="D24" s="756"/>
      <c r="E24" s="755"/>
      <c r="F24" s="755"/>
      <c r="G24" s="755"/>
      <c r="H24" s="746" t="s">
        <v>89</v>
      </c>
      <c r="I24" s="88" t="s">
        <v>157</v>
      </c>
      <c r="J24" s="467" t="str">
        <f t="shared" si="17"/>
        <v/>
      </c>
      <c r="K24" s="89">
        <f t="shared" si="3"/>
        <v>306</v>
      </c>
      <c r="L24" s="90">
        <f t="shared" si="4"/>
        <v>102</v>
      </c>
      <c r="M24" s="91">
        <f t="shared" si="5"/>
        <v>26</v>
      </c>
      <c r="N24" s="60">
        <f t="shared" si="6"/>
        <v>101.93333333333334</v>
      </c>
      <c r="O24" s="60">
        <f t="shared" si="7"/>
        <v>305.8</v>
      </c>
      <c r="P24" s="60">
        <f t="shared" si="8"/>
        <v>25.483333333333334</v>
      </c>
      <c r="Q24" s="92">
        <f t="shared" si="9"/>
        <v>24</v>
      </c>
      <c r="R24" s="92">
        <f t="shared" si="10"/>
        <v>5</v>
      </c>
      <c r="S24" s="92">
        <f t="shared" si="11"/>
        <v>25</v>
      </c>
      <c r="T24" s="93">
        <f t="shared" si="12"/>
        <v>0</v>
      </c>
      <c r="U24" s="93">
        <f t="shared" si="13"/>
        <v>0</v>
      </c>
      <c r="V24" s="93">
        <f t="shared" si="14"/>
        <v>0</v>
      </c>
      <c r="W24" s="60">
        <f t="shared" si="0"/>
        <v>24</v>
      </c>
      <c r="X24" s="60">
        <f t="shared" si="1"/>
        <v>5</v>
      </c>
      <c r="Y24" s="60">
        <f t="shared" si="2"/>
        <v>25</v>
      </c>
      <c r="Z24" s="94" t="str">
        <f t="shared" si="22"/>
        <v/>
      </c>
      <c r="AA24" s="95" t="str">
        <f t="shared" si="15"/>
        <v/>
      </c>
      <c r="AB24" s="84">
        <f t="shared" si="18"/>
        <v>0</v>
      </c>
      <c r="AC24" s="1310" t="str">
        <f t="shared" si="19"/>
        <v/>
      </c>
      <c r="AD24" s="85"/>
      <c r="AE24" s="45">
        <f t="shared" si="20"/>
        <v>25</v>
      </c>
      <c r="AF24" s="74">
        <f t="shared" si="21"/>
        <v>0</v>
      </c>
      <c r="AG24" s="86" t="str">
        <f t="shared" si="16"/>
        <v/>
      </c>
      <c r="AH24" s="40"/>
      <c r="AI24" s="308" t="s">
        <v>109</v>
      </c>
      <c r="AJ24" s="311">
        <f t="shared" si="24"/>
        <v>0</v>
      </c>
    </row>
    <row r="25" spans="1:36" ht="25" customHeight="1">
      <c r="A25" s="87">
        <v>20</v>
      </c>
      <c r="B25" s="750"/>
      <c r="C25" s="751"/>
      <c r="D25" s="752"/>
      <c r="E25" s="751"/>
      <c r="F25" s="751"/>
      <c r="G25" s="751"/>
      <c r="H25" s="746" t="s">
        <v>89</v>
      </c>
      <c r="I25" s="88" t="s">
        <v>157</v>
      </c>
      <c r="J25" s="467" t="str">
        <f t="shared" si="17"/>
        <v/>
      </c>
      <c r="K25" s="89">
        <f t="shared" si="3"/>
        <v>306</v>
      </c>
      <c r="L25" s="90">
        <f t="shared" si="4"/>
        <v>102</v>
      </c>
      <c r="M25" s="91">
        <f t="shared" si="5"/>
        <v>26</v>
      </c>
      <c r="N25" s="60">
        <f t="shared" si="6"/>
        <v>101.93333333333334</v>
      </c>
      <c r="O25" s="60">
        <f t="shared" si="7"/>
        <v>305.8</v>
      </c>
      <c r="P25" s="60">
        <f t="shared" si="8"/>
        <v>25.483333333333334</v>
      </c>
      <c r="Q25" s="92">
        <f t="shared" si="9"/>
        <v>24</v>
      </c>
      <c r="R25" s="92">
        <f t="shared" si="10"/>
        <v>5</v>
      </c>
      <c r="S25" s="92">
        <f t="shared" si="11"/>
        <v>25</v>
      </c>
      <c r="T25" s="93">
        <f t="shared" si="12"/>
        <v>0</v>
      </c>
      <c r="U25" s="93">
        <f t="shared" si="13"/>
        <v>0</v>
      </c>
      <c r="V25" s="93">
        <f t="shared" si="14"/>
        <v>0</v>
      </c>
      <c r="W25" s="60">
        <f t="shared" si="0"/>
        <v>24</v>
      </c>
      <c r="X25" s="60">
        <f t="shared" si="1"/>
        <v>5</v>
      </c>
      <c r="Y25" s="60">
        <f t="shared" si="2"/>
        <v>25</v>
      </c>
      <c r="Z25" s="94" t="str">
        <f t="shared" si="22"/>
        <v/>
      </c>
      <c r="AA25" s="95" t="str">
        <f t="shared" si="15"/>
        <v/>
      </c>
      <c r="AB25" s="84">
        <f t="shared" si="18"/>
        <v>0</v>
      </c>
      <c r="AC25" s="1310" t="str">
        <f t="shared" si="19"/>
        <v/>
      </c>
      <c r="AD25" s="85"/>
      <c r="AE25" s="45">
        <f t="shared" si="20"/>
        <v>25</v>
      </c>
      <c r="AF25" s="74">
        <f t="shared" si="21"/>
        <v>0</v>
      </c>
      <c r="AG25" s="86" t="str">
        <f t="shared" si="16"/>
        <v/>
      </c>
      <c r="AH25" s="40"/>
      <c r="AI25" s="308" t="s">
        <v>110</v>
      </c>
      <c r="AJ25" s="311">
        <f t="shared" si="24"/>
        <v>0</v>
      </c>
    </row>
    <row r="26" spans="1:36" ht="25" customHeight="1">
      <c r="A26" s="87">
        <v>21</v>
      </c>
      <c r="B26" s="750"/>
      <c r="C26" s="751"/>
      <c r="D26" s="752"/>
      <c r="E26" s="751"/>
      <c r="F26" s="751"/>
      <c r="G26" s="751"/>
      <c r="H26" s="746" t="s">
        <v>89</v>
      </c>
      <c r="I26" s="88" t="s">
        <v>157</v>
      </c>
      <c r="J26" s="467" t="str">
        <f t="shared" si="17"/>
        <v/>
      </c>
      <c r="K26" s="89">
        <f t="shared" si="3"/>
        <v>306</v>
      </c>
      <c r="L26" s="90">
        <f t="shared" si="4"/>
        <v>102</v>
      </c>
      <c r="M26" s="91">
        <f t="shared" si="5"/>
        <v>26</v>
      </c>
      <c r="N26" s="60">
        <f t="shared" si="6"/>
        <v>101.93333333333334</v>
      </c>
      <c r="O26" s="60">
        <f t="shared" si="7"/>
        <v>305.8</v>
      </c>
      <c r="P26" s="60">
        <f t="shared" si="8"/>
        <v>25.483333333333334</v>
      </c>
      <c r="Q26" s="92">
        <f t="shared" si="9"/>
        <v>24</v>
      </c>
      <c r="R26" s="92">
        <f t="shared" si="10"/>
        <v>5</v>
      </c>
      <c r="S26" s="92">
        <f t="shared" si="11"/>
        <v>25</v>
      </c>
      <c r="T26" s="93">
        <f t="shared" si="12"/>
        <v>0</v>
      </c>
      <c r="U26" s="93">
        <f t="shared" si="13"/>
        <v>0</v>
      </c>
      <c r="V26" s="93">
        <f t="shared" si="14"/>
        <v>0</v>
      </c>
      <c r="W26" s="60">
        <f t="shared" si="0"/>
        <v>24</v>
      </c>
      <c r="X26" s="60">
        <f t="shared" si="1"/>
        <v>5</v>
      </c>
      <c r="Y26" s="60">
        <f t="shared" si="2"/>
        <v>25</v>
      </c>
      <c r="Z26" s="94" t="str">
        <f t="shared" si="22"/>
        <v/>
      </c>
      <c r="AA26" s="95" t="str">
        <f t="shared" si="15"/>
        <v/>
      </c>
      <c r="AB26" s="84">
        <f t="shared" si="18"/>
        <v>0</v>
      </c>
      <c r="AC26" s="1310" t="str">
        <f t="shared" si="19"/>
        <v/>
      </c>
      <c r="AD26" s="85"/>
      <c r="AE26" s="45">
        <f t="shared" si="20"/>
        <v>25</v>
      </c>
      <c r="AF26" s="74">
        <f t="shared" si="21"/>
        <v>0</v>
      </c>
      <c r="AG26" s="86" t="str">
        <f t="shared" si="16"/>
        <v/>
      </c>
      <c r="AH26" s="40"/>
      <c r="AI26"/>
      <c r="AJ26"/>
    </row>
    <row r="27" spans="1:36" ht="25" customHeight="1">
      <c r="A27" s="87">
        <v>22</v>
      </c>
      <c r="B27" s="750"/>
      <c r="C27" s="751"/>
      <c r="D27" s="757"/>
      <c r="E27" s="751"/>
      <c r="F27" s="751"/>
      <c r="G27" s="751"/>
      <c r="H27" s="746" t="s">
        <v>89</v>
      </c>
      <c r="I27" s="88" t="s">
        <v>157</v>
      </c>
      <c r="J27" s="467" t="str">
        <f t="shared" si="17"/>
        <v/>
      </c>
      <c r="K27" s="89">
        <f t="shared" si="3"/>
        <v>306</v>
      </c>
      <c r="L27" s="90">
        <f t="shared" si="4"/>
        <v>102</v>
      </c>
      <c r="M27" s="91">
        <f t="shared" si="5"/>
        <v>26</v>
      </c>
      <c r="N27" s="60">
        <f t="shared" si="6"/>
        <v>101.93333333333334</v>
      </c>
      <c r="O27" s="60">
        <f t="shared" si="7"/>
        <v>305.8</v>
      </c>
      <c r="P27" s="60">
        <f t="shared" si="8"/>
        <v>25.483333333333334</v>
      </c>
      <c r="Q27" s="92">
        <f t="shared" si="9"/>
        <v>24</v>
      </c>
      <c r="R27" s="92">
        <f t="shared" si="10"/>
        <v>5</v>
      </c>
      <c r="S27" s="92">
        <f t="shared" si="11"/>
        <v>25</v>
      </c>
      <c r="T27" s="93">
        <f t="shared" si="12"/>
        <v>0</v>
      </c>
      <c r="U27" s="93">
        <f t="shared" si="13"/>
        <v>0</v>
      </c>
      <c r="V27" s="93">
        <f t="shared" si="14"/>
        <v>0</v>
      </c>
      <c r="W27" s="60">
        <f t="shared" si="0"/>
        <v>24</v>
      </c>
      <c r="X27" s="60">
        <f t="shared" si="1"/>
        <v>5</v>
      </c>
      <c r="Y27" s="60">
        <f t="shared" si="2"/>
        <v>25</v>
      </c>
      <c r="Z27" s="94" t="str">
        <f t="shared" si="22"/>
        <v/>
      </c>
      <c r="AA27" s="95" t="str">
        <f t="shared" si="15"/>
        <v/>
      </c>
      <c r="AB27" s="84">
        <f t="shared" si="18"/>
        <v>0</v>
      </c>
      <c r="AC27" s="1310" t="str">
        <f t="shared" si="19"/>
        <v/>
      </c>
      <c r="AD27" s="85"/>
      <c r="AE27" s="45">
        <f t="shared" si="20"/>
        <v>25</v>
      </c>
      <c r="AF27" s="74">
        <f t="shared" si="21"/>
        <v>0</v>
      </c>
      <c r="AG27" s="86" t="str">
        <f t="shared" si="16"/>
        <v/>
      </c>
      <c r="AH27" s="40"/>
      <c r="AI27"/>
      <c r="AJ27"/>
    </row>
    <row r="28" spans="1:36" ht="25" customHeight="1">
      <c r="A28" s="87">
        <v>23</v>
      </c>
      <c r="B28" s="750"/>
      <c r="C28" s="751"/>
      <c r="D28" s="758"/>
      <c r="E28" s="751"/>
      <c r="F28" s="751"/>
      <c r="G28" s="751"/>
      <c r="H28" s="746" t="s">
        <v>89</v>
      </c>
      <c r="I28" s="88" t="s">
        <v>157</v>
      </c>
      <c r="J28" s="467" t="str">
        <f t="shared" si="17"/>
        <v/>
      </c>
      <c r="K28" s="89">
        <f t="shared" si="3"/>
        <v>306</v>
      </c>
      <c r="L28" s="90">
        <f t="shared" si="4"/>
        <v>102</v>
      </c>
      <c r="M28" s="91">
        <f t="shared" si="5"/>
        <v>26</v>
      </c>
      <c r="N28" s="60">
        <f t="shared" si="6"/>
        <v>101.93333333333334</v>
      </c>
      <c r="O28" s="60">
        <f t="shared" si="7"/>
        <v>305.8</v>
      </c>
      <c r="P28" s="60">
        <f t="shared" si="8"/>
        <v>25.483333333333334</v>
      </c>
      <c r="Q28" s="92">
        <f t="shared" si="9"/>
        <v>24</v>
      </c>
      <c r="R28" s="92">
        <f t="shared" si="10"/>
        <v>5</v>
      </c>
      <c r="S28" s="92">
        <f t="shared" si="11"/>
        <v>25</v>
      </c>
      <c r="T28" s="93">
        <f t="shared" si="12"/>
        <v>0</v>
      </c>
      <c r="U28" s="93">
        <f t="shared" si="13"/>
        <v>0</v>
      </c>
      <c r="V28" s="93">
        <f t="shared" si="14"/>
        <v>0</v>
      </c>
      <c r="W28" s="60">
        <f t="shared" si="0"/>
        <v>24</v>
      </c>
      <c r="X28" s="60">
        <f t="shared" si="1"/>
        <v>5</v>
      </c>
      <c r="Y28" s="60">
        <f t="shared" si="2"/>
        <v>25</v>
      </c>
      <c r="Z28" s="94" t="str">
        <f t="shared" si="22"/>
        <v/>
      </c>
      <c r="AA28" s="95" t="str">
        <f t="shared" si="15"/>
        <v/>
      </c>
      <c r="AB28" s="84">
        <f t="shared" si="18"/>
        <v>0</v>
      </c>
      <c r="AC28" s="1310" t="str">
        <f t="shared" si="19"/>
        <v/>
      </c>
      <c r="AD28" s="85"/>
      <c r="AE28" s="45">
        <f t="shared" si="20"/>
        <v>25</v>
      </c>
      <c r="AF28" s="74">
        <f t="shared" si="21"/>
        <v>0</v>
      </c>
      <c r="AG28" s="86" t="str">
        <f t="shared" si="16"/>
        <v/>
      </c>
      <c r="AH28" s="40"/>
      <c r="AI28"/>
      <c r="AJ28"/>
    </row>
    <row r="29" spans="1:36" ht="25" customHeight="1">
      <c r="A29" s="87">
        <v>24</v>
      </c>
      <c r="B29" s="750"/>
      <c r="C29" s="751"/>
      <c r="D29" s="752"/>
      <c r="E29" s="751"/>
      <c r="F29" s="751"/>
      <c r="G29" s="751"/>
      <c r="H29" s="746" t="s">
        <v>89</v>
      </c>
      <c r="I29" s="88" t="s">
        <v>157</v>
      </c>
      <c r="J29" s="467" t="str">
        <f t="shared" si="17"/>
        <v/>
      </c>
      <c r="K29" s="89">
        <f t="shared" si="3"/>
        <v>306</v>
      </c>
      <c r="L29" s="90">
        <f t="shared" si="4"/>
        <v>102</v>
      </c>
      <c r="M29" s="91">
        <f t="shared" si="5"/>
        <v>26</v>
      </c>
      <c r="N29" s="60">
        <f t="shared" si="6"/>
        <v>101.93333333333334</v>
      </c>
      <c r="O29" s="60">
        <f t="shared" si="7"/>
        <v>305.8</v>
      </c>
      <c r="P29" s="60">
        <f t="shared" si="8"/>
        <v>25.483333333333334</v>
      </c>
      <c r="Q29" s="92">
        <f t="shared" si="9"/>
        <v>24</v>
      </c>
      <c r="R29" s="92">
        <f t="shared" si="10"/>
        <v>5</v>
      </c>
      <c r="S29" s="92">
        <f t="shared" si="11"/>
        <v>25</v>
      </c>
      <c r="T29" s="93">
        <f t="shared" si="12"/>
        <v>0</v>
      </c>
      <c r="U29" s="93">
        <f t="shared" si="13"/>
        <v>0</v>
      </c>
      <c r="V29" s="93">
        <f t="shared" si="14"/>
        <v>0</v>
      </c>
      <c r="W29" s="60">
        <f t="shared" si="0"/>
        <v>24</v>
      </c>
      <c r="X29" s="60">
        <f t="shared" si="1"/>
        <v>5</v>
      </c>
      <c r="Y29" s="60">
        <f t="shared" si="2"/>
        <v>25</v>
      </c>
      <c r="Z29" s="94" t="str">
        <f t="shared" si="22"/>
        <v/>
      </c>
      <c r="AA29" s="95" t="str">
        <f t="shared" si="15"/>
        <v/>
      </c>
      <c r="AB29" s="84">
        <f t="shared" si="18"/>
        <v>0</v>
      </c>
      <c r="AC29" s="1310" t="str">
        <f t="shared" si="19"/>
        <v/>
      </c>
      <c r="AD29" s="85"/>
      <c r="AE29" s="45">
        <f t="shared" si="20"/>
        <v>25</v>
      </c>
      <c r="AF29" s="74">
        <f t="shared" si="21"/>
        <v>0</v>
      </c>
      <c r="AG29" s="86" t="str">
        <f t="shared" si="16"/>
        <v/>
      </c>
      <c r="AH29" s="40"/>
      <c r="AI29"/>
      <c r="AJ29"/>
    </row>
    <row r="30" spans="1:36" ht="25" customHeight="1">
      <c r="A30" s="87">
        <v>25</v>
      </c>
      <c r="B30" s="750"/>
      <c r="C30" s="751"/>
      <c r="D30" s="752"/>
      <c r="E30" s="751"/>
      <c r="F30" s="751"/>
      <c r="G30" s="751"/>
      <c r="H30" s="746" t="s">
        <v>89</v>
      </c>
      <c r="I30" s="88" t="s">
        <v>157</v>
      </c>
      <c r="J30" s="467" t="str">
        <f t="shared" si="17"/>
        <v/>
      </c>
      <c r="K30" s="89">
        <f t="shared" si="3"/>
        <v>306</v>
      </c>
      <c r="L30" s="90">
        <f t="shared" si="4"/>
        <v>102</v>
      </c>
      <c r="M30" s="91">
        <f t="shared" si="5"/>
        <v>26</v>
      </c>
      <c r="N30" s="60">
        <f t="shared" si="6"/>
        <v>101.93333333333334</v>
      </c>
      <c r="O30" s="60">
        <f t="shared" si="7"/>
        <v>305.8</v>
      </c>
      <c r="P30" s="60">
        <f t="shared" si="8"/>
        <v>25.483333333333334</v>
      </c>
      <c r="Q30" s="92">
        <f t="shared" si="9"/>
        <v>24</v>
      </c>
      <c r="R30" s="92">
        <f t="shared" si="10"/>
        <v>5</v>
      </c>
      <c r="S30" s="92">
        <f t="shared" si="11"/>
        <v>25</v>
      </c>
      <c r="T30" s="93">
        <f t="shared" si="12"/>
        <v>0</v>
      </c>
      <c r="U30" s="93">
        <f t="shared" si="13"/>
        <v>0</v>
      </c>
      <c r="V30" s="93">
        <f t="shared" si="14"/>
        <v>0</v>
      </c>
      <c r="W30" s="60">
        <f t="shared" si="0"/>
        <v>24</v>
      </c>
      <c r="X30" s="60">
        <f t="shared" si="1"/>
        <v>5</v>
      </c>
      <c r="Y30" s="60">
        <f t="shared" si="2"/>
        <v>25</v>
      </c>
      <c r="Z30" s="94" t="str">
        <f t="shared" si="22"/>
        <v/>
      </c>
      <c r="AA30" s="95" t="str">
        <f t="shared" si="15"/>
        <v/>
      </c>
      <c r="AB30" s="84">
        <f t="shared" si="18"/>
        <v>0</v>
      </c>
      <c r="AC30" s="1310" t="str">
        <f t="shared" si="19"/>
        <v/>
      </c>
      <c r="AD30" s="85"/>
      <c r="AE30" s="45">
        <f t="shared" si="20"/>
        <v>25</v>
      </c>
      <c r="AF30" s="74">
        <f t="shared" si="21"/>
        <v>0</v>
      </c>
      <c r="AG30" s="86" t="str">
        <f t="shared" si="16"/>
        <v/>
      </c>
      <c r="AH30" s="40"/>
      <c r="AI30" s="309" t="s">
        <v>134</v>
      </c>
      <c r="AJ30" s="310" t="s">
        <v>135</v>
      </c>
    </row>
    <row r="31" spans="1:36" ht="25" customHeight="1">
      <c r="A31" s="87">
        <v>26</v>
      </c>
      <c r="B31" s="750"/>
      <c r="C31" s="751"/>
      <c r="D31" s="752"/>
      <c r="E31" s="751"/>
      <c r="F31" s="751"/>
      <c r="G31" s="751"/>
      <c r="H31" s="746" t="s">
        <v>89</v>
      </c>
      <c r="I31" s="88" t="s">
        <v>157</v>
      </c>
      <c r="J31" s="467" t="str">
        <f t="shared" si="17"/>
        <v/>
      </c>
      <c r="K31" s="89">
        <f t="shared" si="3"/>
        <v>306</v>
      </c>
      <c r="L31" s="90">
        <f t="shared" si="4"/>
        <v>102</v>
      </c>
      <c r="M31" s="91">
        <f t="shared" si="5"/>
        <v>26</v>
      </c>
      <c r="N31" s="60">
        <f t="shared" si="6"/>
        <v>101.93333333333334</v>
      </c>
      <c r="O31" s="60">
        <f t="shared" si="7"/>
        <v>305.8</v>
      </c>
      <c r="P31" s="60">
        <f t="shared" si="8"/>
        <v>25.483333333333334</v>
      </c>
      <c r="Q31" s="92">
        <f t="shared" si="9"/>
        <v>24</v>
      </c>
      <c r="R31" s="92">
        <f t="shared" si="10"/>
        <v>5</v>
      </c>
      <c r="S31" s="92">
        <f t="shared" si="11"/>
        <v>25</v>
      </c>
      <c r="T31" s="93">
        <f t="shared" si="12"/>
        <v>0</v>
      </c>
      <c r="U31" s="93">
        <f t="shared" si="13"/>
        <v>0</v>
      </c>
      <c r="V31" s="93">
        <f t="shared" si="14"/>
        <v>0</v>
      </c>
      <c r="W31" s="60">
        <f t="shared" si="0"/>
        <v>24</v>
      </c>
      <c r="X31" s="60">
        <f t="shared" si="1"/>
        <v>5</v>
      </c>
      <c r="Y31" s="60">
        <f t="shared" si="2"/>
        <v>25</v>
      </c>
      <c r="Z31" s="94" t="str">
        <f t="shared" si="22"/>
        <v/>
      </c>
      <c r="AA31" s="95" t="str">
        <f t="shared" si="15"/>
        <v/>
      </c>
      <c r="AB31" s="84">
        <f t="shared" si="18"/>
        <v>0</v>
      </c>
      <c r="AC31" s="1310" t="str">
        <f t="shared" si="19"/>
        <v/>
      </c>
      <c r="AD31" s="85"/>
      <c r="AE31" s="45">
        <f t="shared" si="20"/>
        <v>25</v>
      </c>
      <c r="AF31" s="74">
        <f t="shared" si="21"/>
        <v>0</v>
      </c>
      <c r="AG31" s="86" t="str">
        <f t="shared" si="16"/>
        <v/>
      </c>
      <c r="AH31" s="40"/>
      <c r="AI31" s="308" t="s">
        <v>89</v>
      </c>
      <c r="AJ31" s="311" t="str">
        <f>B107</f>
        <v>Amtsgericht XXX
Betreuungsgericht
Postfach XXX</v>
      </c>
    </row>
    <row r="32" spans="1:36" ht="25" customHeight="1">
      <c r="A32" s="87">
        <v>27</v>
      </c>
      <c r="B32" s="750"/>
      <c r="C32" s="751"/>
      <c r="D32" s="752"/>
      <c r="E32" s="751"/>
      <c r="F32" s="751"/>
      <c r="G32" s="751"/>
      <c r="H32" s="746" t="s">
        <v>89</v>
      </c>
      <c r="I32" s="88" t="s">
        <v>157</v>
      </c>
      <c r="J32" s="467" t="str">
        <f t="shared" si="17"/>
        <v/>
      </c>
      <c r="K32" s="89">
        <f t="shared" si="3"/>
        <v>306</v>
      </c>
      <c r="L32" s="90">
        <f t="shared" si="4"/>
        <v>102</v>
      </c>
      <c r="M32" s="91">
        <f t="shared" si="5"/>
        <v>26</v>
      </c>
      <c r="N32" s="60">
        <f t="shared" si="6"/>
        <v>101.93333333333334</v>
      </c>
      <c r="O32" s="60">
        <f t="shared" si="7"/>
        <v>305.8</v>
      </c>
      <c r="P32" s="60">
        <f t="shared" si="8"/>
        <v>25.483333333333334</v>
      </c>
      <c r="Q32" s="92">
        <f t="shared" si="9"/>
        <v>24</v>
      </c>
      <c r="R32" s="92">
        <f t="shared" si="10"/>
        <v>5</v>
      </c>
      <c r="S32" s="92">
        <f t="shared" si="11"/>
        <v>25</v>
      </c>
      <c r="T32" s="93">
        <f t="shared" si="12"/>
        <v>0</v>
      </c>
      <c r="U32" s="93">
        <f t="shared" si="13"/>
        <v>0</v>
      </c>
      <c r="V32" s="93">
        <f t="shared" si="14"/>
        <v>0</v>
      </c>
      <c r="W32" s="60">
        <f t="shared" si="0"/>
        <v>24</v>
      </c>
      <c r="X32" s="60">
        <f t="shared" si="1"/>
        <v>5</v>
      </c>
      <c r="Y32" s="60">
        <f t="shared" si="2"/>
        <v>25</v>
      </c>
      <c r="Z32" s="94" t="str">
        <f t="shared" si="22"/>
        <v/>
      </c>
      <c r="AA32" s="95" t="str">
        <f t="shared" si="15"/>
        <v/>
      </c>
      <c r="AB32" s="84">
        <f t="shared" si="18"/>
        <v>0</v>
      </c>
      <c r="AC32" s="1310" t="str">
        <f t="shared" si="19"/>
        <v/>
      </c>
      <c r="AD32" s="85"/>
      <c r="AE32" s="45">
        <f t="shared" si="20"/>
        <v>25</v>
      </c>
      <c r="AF32" s="74">
        <f t="shared" si="21"/>
        <v>0</v>
      </c>
      <c r="AG32" s="86" t="str">
        <f t="shared" si="16"/>
        <v/>
      </c>
      <c r="AH32" s="40"/>
      <c r="AI32" s="308" t="s">
        <v>90</v>
      </c>
      <c r="AJ32" s="311" t="str">
        <f>B108</f>
        <v>Amtsgericht Marsberg
Betreuungsgericht
Postfach 1555
34421 Marsberg</v>
      </c>
    </row>
    <row r="33" spans="1:36" ht="25" customHeight="1">
      <c r="A33" s="87">
        <v>28</v>
      </c>
      <c r="B33" s="750"/>
      <c r="C33" s="751"/>
      <c r="D33" s="752"/>
      <c r="E33" s="751"/>
      <c r="F33" s="751"/>
      <c r="G33" s="751"/>
      <c r="H33" s="746" t="s">
        <v>89</v>
      </c>
      <c r="I33" s="88" t="s">
        <v>157</v>
      </c>
      <c r="J33" s="467" t="str">
        <f t="shared" si="17"/>
        <v/>
      </c>
      <c r="K33" s="89">
        <f t="shared" si="3"/>
        <v>306</v>
      </c>
      <c r="L33" s="90">
        <f t="shared" si="4"/>
        <v>102</v>
      </c>
      <c r="M33" s="91">
        <f t="shared" si="5"/>
        <v>26</v>
      </c>
      <c r="N33" s="60">
        <f t="shared" si="6"/>
        <v>101.93333333333334</v>
      </c>
      <c r="O33" s="60">
        <f t="shared" si="7"/>
        <v>305.8</v>
      </c>
      <c r="P33" s="60">
        <f t="shared" si="8"/>
        <v>25.483333333333334</v>
      </c>
      <c r="Q33" s="92">
        <f t="shared" si="9"/>
        <v>24</v>
      </c>
      <c r="R33" s="92">
        <f t="shared" si="10"/>
        <v>5</v>
      </c>
      <c r="S33" s="92">
        <f t="shared" si="11"/>
        <v>25</v>
      </c>
      <c r="T33" s="93">
        <f t="shared" si="12"/>
        <v>0</v>
      </c>
      <c r="U33" s="93">
        <f t="shared" si="13"/>
        <v>0</v>
      </c>
      <c r="V33" s="93">
        <f t="shared" si="14"/>
        <v>0</v>
      </c>
      <c r="W33" s="60">
        <f t="shared" si="0"/>
        <v>24</v>
      </c>
      <c r="X33" s="60">
        <f t="shared" si="1"/>
        <v>5</v>
      </c>
      <c r="Y33" s="60">
        <f t="shared" si="2"/>
        <v>25</v>
      </c>
      <c r="Z33" s="94" t="str">
        <f t="shared" si="22"/>
        <v/>
      </c>
      <c r="AA33" s="95" t="str">
        <f t="shared" si="15"/>
        <v/>
      </c>
      <c r="AB33" s="84">
        <f t="shared" si="18"/>
        <v>0</v>
      </c>
      <c r="AC33" s="1310" t="str">
        <f t="shared" si="19"/>
        <v/>
      </c>
      <c r="AD33" s="85"/>
      <c r="AE33" s="45">
        <f t="shared" si="20"/>
        <v>25</v>
      </c>
      <c r="AF33" s="74">
        <f t="shared" si="21"/>
        <v>0</v>
      </c>
      <c r="AG33" s="86" t="str">
        <f t="shared" si="16"/>
        <v/>
      </c>
      <c r="AH33" s="40"/>
      <c r="AI33" s="308" t="s">
        <v>91</v>
      </c>
      <c r="AJ33" s="311" t="str">
        <f t="shared" ref="AJ33:AJ49" si="25">B109</f>
        <v>Amtsgericht Brakel
Betreuungsgericht
Nieheimer Str. 17
33934 Brakel</v>
      </c>
    </row>
    <row r="34" spans="1:36" ht="25" customHeight="1">
      <c r="A34" s="87">
        <v>29</v>
      </c>
      <c r="B34" s="750"/>
      <c r="C34" s="751"/>
      <c r="D34" s="752"/>
      <c r="E34" s="751"/>
      <c r="F34" s="751"/>
      <c r="G34" s="751"/>
      <c r="H34" s="746" t="s">
        <v>89</v>
      </c>
      <c r="I34" s="88" t="s">
        <v>157</v>
      </c>
      <c r="J34" s="467" t="str">
        <f t="shared" si="17"/>
        <v/>
      </c>
      <c r="K34" s="89">
        <f t="shared" si="3"/>
        <v>306</v>
      </c>
      <c r="L34" s="90">
        <f t="shared" si="4"/>
        <v>102</v>
      </c>
      <c r="M34" s="91">
        <f t="shared" si="5"/>
        <v>26</v>
      </c>
      <c r="N34" s="60">
        <f t="shared" si="6"/>
        <v>101.93333333333334</v>
      </c>
      <c r="O34" s="60">
        <f t="shared" si="7"/>
        <v>305.8</v>
      </c>
      <c r="P34" s="60">
        <f t="shared" si="8"/>
        <v>25.483333333333334</v>
      </c>
      <c r="Q34" s="92">
        <f t="shared" si="9"/>
        <v>24</v>
      </c>
      <c r="R34" s="92">
        <f t="shared" si="10"/>
        <v>5</v>
      </c>
      <c r="S34" s="92">
        <f t="shared" si="11"/>
        <v>25</v>
      </c>
      <c r="T34" s="93">
        <f t="shared" si="12"/>
        <v>0</v>
      </c>
      <c r="U34" s="93">
        <f t="shared" si="13"/>
        <v>0</v>
      </c>
      <c r="V34" s="93">
        <f t="shared" si="14"/>
        <v>0</v>
      </c>
      <c r="W34" s="60">
        <f t="shared" si="0"/>
        <v>24</v>
      </c>
      <c r="X34" s="60">
        <f t="shared" si="1"/>
        <v>5</v>
      </c>
      <c r="Y34" s="60">
        <f t="shared" si="2"/>
        <v>25</v>
      </c>
      <c r="Z34" s="94" t="str">
        <f t="shared" si="22"/>
        <v/>
      </c>
      <c r="AA34" s="95" t="str">
        <f t="shared" si="15"/>
        <v/>
      </c>
      <c r="AB34" s="84">
        <f t="shared" si="18"/>
        <v>0</v>
      </c>
      <c r="AC34" s="1310" t="str">
        <f t="shared" si="19"/>
        <v/>
      </c>
      <c r="AD34" s="85"/>
      <c r="AE34" s="45">
        <f t="shared" si="20"/>
        <v>25</v>
      </c>
      <c r="AF34" s="74">
        <f t="shared" si="21"/>
        <v>0</v>
      </c>
      <c r="AG34" s="86" t="str">
        <f t="shared" si="16"/>
        <v/>
      </c>
      <c r="AH34" s="40"/>
      <c r="AI34" s="308" t="s">
        <v>92</v>
      </c>
      <c r="AJ34" s="311" t="str">
        <f t="shared" si="25"/>
        <v xml:space="preserve">Amtsgericht Lennestadt 
Betreuungsgericht
Postfach 3040
57347 Lennestadt
</v>
      </c>
    </row>
    <row r="35" spans="1:36" ht="25" customHeight="1">
      <c r="A35" s="87">
        <v>30</v>
      </c>
      <c r="B35" s="750"/>
      <c r="C35" s="751"/>
      <c r="D35" s="752"/>
      <c r="E35" s="751"/>
      <c r="F35" s="751"/>
      <c r="G35" s="751"/>
      <c r="H35" s="746" t="s">
        <v>89</v>
      </c>
      <c r="I35" s="88" t="s">
        <v>157</v>
      </c>
      <c r="J35" s="467" t="str">
        <f t="shared" si="17"/>
        <v/>
      </c>
      <c r="K35" s="89">
        <f t="shared" si="3"/>
        <v>306</v>
      </c>
      <c r="L35" s="90">
        <f t="shared" si="4"/>
        <v>102</v>
      </c>
      <c r="M35" s="91">
        <f t="shared" si="5"/>
        <v>26</v>
      </c>
      <c r="N35" s="60">
        <f t="shared" si="6"/>
        <v>101.93333333333334</v>
      </c>
      <c r="O35" s="60">
        <f t="shared" si="7"/>
        <v>305.8</v>
      </c>
      <c r="P35" s="60">
        <f t="shared" si="8"/>
        <v>25.483333333333334</v>
      </c>
      <c r="Q35" s="92">
        <f t="shared" si="9"/>
        <v>24</v>
      </c>
      <c r="R35" s="92">
        <f t="shared" si="10"/>
        <v>5</v>
      </c>
      <c r="S35" s="92">
        <f t="shared" si="11"/>
        <v>25</v>
      </c>
      <c r="T35" s="93">
        <f t="shared" si="12"/>
        <v>0</v>
      </c>
      <c r="U35" s="93">
        <f t="shared" si="13"/>
        <v>0</v>
      </c>
      <c r="V35" s="93">
        <f t="shared" si="14"/>
        <v>0</v>
      </c>
      <c r="W35" s="60">
        <f t="shared" si="0"/>
        <v>24</v>
      </c>
      <c r="X35" s="60">
        <f t="shared" si="1"/>
        <v>5</v>
      </c>
      <c r="Y35" s="60">
        <f t="shared" si="2"/>
        <v>25</v>
      </c>
      <c r="Z35" s="94" t="str">
        <f t="shared" si="22"/>
        <v/>
      </c>
      <c r="AA35" s="95" t="str">
        <f t="shared" si="15"/>
        <v/>
      </c>
      <c r="AB35" s="84">
        <f t="shared" si="18"/>
        <v>0</v>
      </c>
      <c r="AC35" s="1310" t="str">
        <f t="shared" si="19"/>
        <v/>
      </c>
      <c r="AD35" s="85"/>
      <c r="AE35" s="45">
        <f t="shared" si="20"/>
        <v>25</v>
      </c>
      <c r="AF35" s="74">
        <f t="shared" si="21"/>
        <v>0</v>
      </c>
      <c r="AG35" s="86" t="str">
        <f t="shared" si="16"/>
        <v/>
      </c>
      <c r="AH35" s="40"/>
      <c r="AI35" s="308" t="s">
        <v>93</v>
      </c>
      <c r="AJ35" s="311" t="str">
        <f t="shared" si="25"/>
        <v>Amtsgericht Delbrück
Betreuungsgericht
Postfach 1161
33119 Delbrück</v>
      </c>
    </row>
    <row r="36" spans="1:36" ht="25" customHeight="1">
      <c r="A36" s="87">
        <v>31</v>
      </c>
      <c r="B36" s="750"/>
      <c r="C36" s="751"/>
      <c r="D36" s="752"/>
      <c r="E36" s="751"/>
      <c r="F36" s="751"/>
      <c r="G36" s="751"/>
      <c r="H36" s="746" t="s">
        <v>89</v>
      </c>
      <c r="I36" s="88" t="s">
        <v>157</v>
      </c>
      <c r="J36" s="467" t="str">
        <f t="shared" si="17"/>
        <v/>
      </c>
      <c r="K36" s="89">
        <f t="shared" si="3"/>
        <v>306</v>
      </c>
      <c r="L36" s="90">
        <f t="shared" si="4"/>
        <v>102</v>
      </c>
      <c r="M36" s="91">
        <f t="shared" si="5"/>
        <v>26</v>
      </c>
      <c r="N36" s="60">
        <f t="shared" si="6"/>
        <v>101.93333333333334</v>
      </c>
      <c r="O36" s="60">
        <f t="shared" si="7"/>
        <v>305.8</v>
      </c>
      <c r="P36" s="60">
        <f t="shared" si="8"/>
        <v>25.483333333333334</v>
      </c>
      <c r="Q36" s="92">
        <f t="shared" si="9"/>
        <v>24</v>
      </c>
      <c r="R36" s="92">
        <f t="shared" si="10"/>
        <v>5</v>
      </c>
      <c r="S36" s="92">
        <f t="shared" si="11"/>
        <v>25</v>
      </c>
      <c r="T36" s="93">
        <f t="shared" si="12"/>
        <v>0</v>
      </c>
      <c r="U36" s="93">
        <f t="shared" si="13"/>
        <v>0</v>
      </c>
      <c r="V36" s="93">
        <f t="shared" si="14"/>
        <v>0</v>
      </c>
      <c r="W36" s="60">
        <f t="shared" ref="W36:W67" si="26">E$4</f>
        <v>24</v>
      </c>
      <c r="X36" s="60">
        <f t="shared" ref="X36:X67" si="27">F$4</f>
        <v>5</v>
      </c>
      <c r="Y36" s="60">
        <f t="shared" ref="Y36:Y67" si="28">G$4</f>
        <v>25</v>
      </c>
      <c r="Z36" s="94" t="str">
        <f t="shared" si="22"/>
        <v/>
      </c>
      <c r="AA36" s="95" t="str">
        <f t="shared" si="15"/>
        <v/>
      </c>
      <c r="AB36" s="84">
        <f t="shared" si="18"/>
        <v>0</v>
      </c>
      <c r="AC36" s="1310" t="str">
        <f t="shared" si="19"/>
        <v/>
      </c>
      <c r="AD36" s="85"/>
      <c r="AE36" s="45">
        <f t="shared" si="20"/>
        <v>25</v>
      </c>
      <c r="AF36" s="74">
        <f t="shared" si="21"/>
        <v>0</v>
      </c>
      <c r="AG36" s="86" t="str">
        <f t="shared" si="16"/>
        <v/>
      </c>
      <c r="AH36" s="40"/>
      <c r="AI36" s="308" t="s">
        <v>94</v>
      </c>
      <c r="AJ36" s="311" t="str">
        <f t="shared" si="25"/>
        <v>Amtsgericht Detmold 
Betreuungsgericht
Postfach 1163 
32701 Detmold</v>
      </c>
    </row>
    <row r="37" spans="1:36" ht="25" customHeight="1">
      <c r="A37" s="87">
        <v>32</v>
      </c>
      <c r="B37" s="750"/>
      <c r="C37" s="751"/>
      <c r="D37" s="752"/>
      <c r="E37" s="751"/>
      <c r="F37" s="751"/>
      <c r="G37" s="751"/>
      <c r="H37" s="746" t="s">
        <v>89</v>
      </c>
      <c r="I37" s="88" t="s">
        <v>157</v>
      </c>
      <c r="J37" s="467" t="str">
        <f t="shared" si="17"/>
        <v/>
      </c>
      <c r="K37" s="89">
        <f t="shared" si="3"/>
        <v>306</v>
      </c>
      <c r="L37" s="90">
        <f t="shared" si="4"/>
        <v>102</v>
      </c>
      <c r="M37" s="91">
        <f t="shared" si="5"/>
        <v>26</v>
      </c>
      <c r="N37" s="60">
        <f t="shared" si="6"/>
        <v>101.93333333333334</v>
      </c>
      <c r="O37" s="60">
        <f t="shared" si="7"/>
        <v>305.8</v>
      </c>
      <c r="P37" s="60">
        <f t="shared" si="8"/>
        <v>25.483333333333334</v>
      </c>
      <c r="Q37" s="92">
        <f t="shared" si="9"/>
        <v>24</v>
      </c>
      <c r="R37" s="92">
        <f t="shared" si="10"/>
        <v>5</v>
      </c>
      <c r="S37" s="92">
        <f t="shared" si="11"/>
        <v>25</v>
      </c>
      <c r="T37" s="93">
        <f t="shared" si="12"/>
        <v>0</v>
      </c>
      <c r="U37" s="93">
        <f t="shared" si="13"/>
        <v>0</v>
      </c>
      <c r="V37" s="93">
        <f t="shared" si="14"/>
        <v>0</v>
      </c>
      <c r="W37" s="60">
        <f t="shared" si="26"/>
        <v>24</v>
      </c>
      <c r="X37" s="60">
        <f t="shared" si="27"/>
        <v>5</v>
      </c>
      <c r="Y37" s="60">
        <f t="shared" si="28"/>
        <v>25</v>
      </c>
      <c r="Z37" s="94" t="str">
        <f t="shared" si="22"/>
        <v/>
      </c>
      <c r="AA37" s="95" t="str">
        <f t="shared" si="15"/>
        <v/>
      </c>
      <c r="AB37" s="84">
        <f t="shared" si="18"/>
        <v>0</v>
      </c>
      <c r="AC37" s="1310" t="str">
        <f t="shared" si="19"/>
        <v/>
      </c>
      <c r="AD37" s="85"/>
      <c r="AE37" s="45">
        <f t="shared" si="20"/>
        <v>25</v>
      </c>
      <c r="AF37" s="74">
        <f t="shared" si="21"/>
        <v>0</v>
      </c>
      <c r="AG37" s="86" t="str">
        <f t="shared" si="16"/>
        <v/>
      </c>
      <c r="AH37" s="40"/>
      <c r="AI37" s="308" t="s">
        <v>95</v>
      </c>
      <c r="AJ37" s="311">
        <f t="shared" si="25"/>
        <v>0</v>
      </c>
    </row>
    <row r="38" spans="1:36" ht="25" customHeight="1">
      <c r="A38" s="87">
        <v>33</v>
      </c>
      <c r="B38" s="750"/>
      <c r="C38" s="751"/>
      <c r="D38" s="752"/>
      <c r="E38" s="751"/>
      <c r="F38" s="751"/>
      <c r="G38" s="751"/>
      <c r="H38" s="746" t="s">
        <v>89</v>
      </c>
      <c r="I38" s="88" t="s">
        <v>157</v>
      </c>
      <c r="J38" s="467" t="str">
        <f t="shared" si="17"/>
        <v/>
      </c>
      <c r="K38" s="89">
        <f t="shared" ref="K38:K69" si="29">ROUNDUP(O38,0)</f>
        <v>306</v>
      </c>
      <c r="L38" s="90">
        <f t="shared" ref="L38:L69" si="30">ROUNDUP(N38,0)</f>
        <v>102</v>
      </c>
      <c r="M38" s="91">
        <f t="shared" ref="M38:M69" si="31">ROUNDUP(P38,0)</f>
        <v>26</v>
      </c>
      <c r="N38" s="60">
        <f t="shared" ref="N38:N69" si="32">O38/3</f>
        <v>101.93333333333334</v>
      </c>
      <c r="O38" s="60">
        <f t="shared" ref="O38:O69" si="33">S38*12+R38+(Q38/30)</f>
        <v>305.8</v>
      </c>
      <c r="P38" s="60">
        <f t="shared" ref="P38:P69" si="34">O38/12</f>
        <v>25.483333333333334</v>
      </c>
      <c r="Q38" s="92">
        <f t="shared" ref="Q38:Q69" si="35">W38-T38</f>
        <v>24</v>
      </c>
      <c r="R38" s="92">
        <f t="shared" ref="R38:R69" si="36">X38-U38</f>
        <v>5</v>
      </c>
      <c r="S38" s="92">
        <f t="shared" ref="S38:S69" si="37">Y38-V38</f>
        <v>25</v>
      </c>
      <c r="T38" s="93">
        <f t="shared" ref="T38:T69" si="38">E38</f>
        <v>0</v>
      </c>
      <c r="U38" s="93">
        <f t="shared" ref="U38:U69" si="39">F38</f>
        <v>0</v>
      </c>
      <c r="V38" s="93">
        <f t="shared" ref="V38:V69" si="40">G38</f>
        <v>0</v>
      </c>
      <c r="W38" s="60">
        <f t="shared" si="26"/>
        <v>24</v>
      </c>
      <c r="X38" s="60">
        <f t="shared" si="27"/>
        <v>5</v>
      </c>
      <c r="Y38" s="60">
        <f t="shared" si="28"/>
        <v>25</v>
      </c>
      <c r="Z38" s="94" t="str">
        <f t="shared" ref="Z38:Z69" si="41">IF(Z$2="Stufe A",IF(AND(I38="Auswahl treffen",L38&gt;=0,L38&lt;=1000),J38,IF(AND(I38="Vermögend und ambulant",L38&gt;8,L38&lt;=1000),130,IF(AND(I38="Vermögend und ambulant",L38&gt;4,L38&lt;=8),158,IF(AND(I38="Vermögend und ambulant",L38&gt;2,L38&lt;=4),192,IF(AND(I38="Vermögend und ambulant",L38&gt;1,L38&lt;=2),208,IF(AND(I38="Vermögend und ambulant",L38&gt;0,L38&lt;=1),298,IF(AND(I38="Vermögend und stationär",L38&gt;8,L38&lt;=1000),78,IF(AND(I38="Vermögend und stationär",L38&gt;4,L38&lt;=8),91,IF(AND(I38="Vermögend und stationär",L38&gt;2,L38&lt;=4),140,IF(AND(I38="Vermögend und stationär",L38&gt;1,L38&lt;=2),158,IF(AND(I38="Vermögend und stationär",L38&gt;0,L38&lt;=1),200,IF(AND(I38="Mittellos und ambulant",L38&gt;8,L38&lt;=1000),105,IF(AND(I38="Mittellos und ambulant",L38&gt;4,L38&lt;=8),122,IF(AND(I38="Mittellos und ambulant",L38&gt;2,L38&lt;=4),151,IF(AND(I38="Mittellos und ambulant",L38&gt;1,L38&lt;=2),170,IF(AND(I38="Mittellos und ambulant",L38&gt;0,L38&lt;=1),208,IF(AND(I38="Mittellos und stationär",L38&gt;8,L38&lt;=1000),62,IF(AND(I38="Mittellos und stationär",L38&gt;4,L38&lt;=8),87,IF(AND(I38="Mittellos und stationär",L38&gt;2,L38&lt;=4),124,IF(AND(I38="Mittellos und stationär",L38&gt;1,L38&lt;=2),129,IF(AND(I38="Mittellos und stationär",L38&gt;0,L38&lt;=1),194,""))))))))))))))))))))),IF(Z$2="Stufe B",IF(AND(I38="Auswahl treffen",L38&gt;=0,L38&lt;=1000),J38,IF(AND(I38="Vermögend und ambulant",L38&gt;8,L38&lt;=1000),161,IF(AND(I38="Vermögend und ambulant",L38&gt;4,L38&lt;=8),196,IF(AND(I38="Vermögend und ambulant",L38&gt;2,L38&lt;=4),238,IF(AND(I38="Vermögend und ambulant",L38&gt;1,L38&lt;=2),258,IF(AND(I38="Vermögend und ambulant",L38&gt;0,L38&lt;=1),370,IF(AND(I38="Vermögend und stationär",L38&gt;8,L38&lt;=1000),96,IF(AND(I38="Vermögend und stationär",L38&gt;4,L38&lt;=8),113,IF(AND(I38="Vermögend und stationär",L38&gt;2,L38&lt;=4),174,IF(AND(I38="Vermögend und stationär",L38&gt;1,L38&lt;=2),196,IF(AND(I38="Vermögend und stationär",L38&gt;0,L38&lt;=1),249,IF(AND(I38="Mittellos und ambulant",L38&gt;8,L38&lt;=1000),130,IF(AND(I38="Mittellos und ambulant",L38&gt;4,L38&lt;=8),151,IF(AND(I38="Mittellos und ambulant",L38&gt;2,L38&lt;=4),188,IF(AND(I38="Mittellos und ambulant",L38&gt;1,L38&lt;=2),211,IF(AND(I38="Mittellos und ambulant",L38&gt;0,L38&lt;=1),258,IF(AND(I38="Mittellos und stationär",L38&gt;8,L38&lt;=1000),78,IF(AND(I38="Mittellos und stationär",L38&gt;4,L38&lt;=8),107,IF(AND(I38="Mittellos und stationär",L38&gt;2,L38&lt;=4),154,IF(AND(I38="Mittellos und stationär",L38&gt;1,L38&lt;=2),158,IF(AND(I38="Mittellos und stationär",L38&gt;0,L38&lt;=1),241,""))))))))))))))))))))),IF(Z$2="Stufe C",IF(AND(I38="Auswahl treffen",L38&gt;=0,L38&lt;=1000),J38,IF(AND(I38="Vermögend und ambulant",L38&gt;8,L38&lt;=1000),211,IF(AND(I38="Vermögend und ambulant",L38&gt;4,L38&lt;=8),257,IF(AND(I38="Vermögend und ambulant",L38&gt;2,L38&lt;=4),312,IF(AND(I38="Vermögend und ambulant",L38&gt;1,L38&lt;=2),339,IF(AND(I38="Vermögend und ambulant",L38&gt;0,L38&lt;=1),486,IF(AND(I38="Vermögend und stationär",L38&gt;8,L38&lt;=1000),127,IF(AND(I38="Vermögend und stationär",L38&gt;4,L38&lt;=8),149,IF(AND(I38="Vermögend und stationär",L38&gt;2,L38&lt;=4),229,IF(AND(I38="Vermögend und stationär",L38&gt;1,L38&lt;=2),257,IF(AND(I38="Vermögend und stationär",L38&gt;0,L38&lt;=1),327,IF(AND(I38="Mittellos und ambulant",L38&gt;8,L38&lt;=1000),171,IF(AND(I38="Mittellos und ambulant",L38&gt;4,L38&lt;=8),198,IF(AND(I38="Mittellos und ambulant",L38&gt;2,L38&lt;=4),246,IF(AND(I38="Mittellos und ambulant",L38&gt;1,L38&lt;=2),277,IF(AND(I38="Mittellos und ambulant",L38&gt;0,L38&lt;=1),339,IF(AND(I38="Mittellos und stationär",L38&gt;8,L38&lt;=1000),102,IF(AND(I38="Mittellos und stationär",L38&gt;4,L38&lt;=8),141,IF(AND(I38="Mittellos und stationär",L38&gt;2,L38&lt;=4),202,IF(AND(I38="Mittellos und stationär",L38&gt;1,L38&lt;=2),208,IF(AND(I38="Mittellos und stationär",L38&gt;0,L38&lt;=1),317,""))))))))))))))))))))),"")))</f>
        <v/>
      </c>
      <c r="AA38" s="95" t="str">
        <f t="shared" ref="AA38:AA69" si="42">IF(G38&gt;0.1,"EUR","")</f>
        <v/>
      </c>
      <c r="AB38" s="84">
        <f t="shared" si="18"/>
        <v>0</v>
      </c>
      <c r="AC38" s="1310" t="str">
        <f t="shared" si="19"/>
        <v/>
      </c>
      <c r="AD38" s="85"/>
      <c r="AE38" s="45">
        <f t="shared" si="20"/>
        <v>25</v>
      </c>
      <c r="AF38" s="74">
        <f t="shared" si="21"/>
        <v>0</v>
      </c>
      <c r="AG38" s="86" t="str">
        <f t="shared" ref="AG38:AG69" si="43">IF(AND(OR(AE38=24, AE38=25), G38&gt;=1, G38&lt;=100), 7.5, "")</f>
        <v/>
      </c>
      <c r="AH38" s="40"/>
      <c r="AI38" s="308" t="s">
        <v>96</v>
      </c>
      <c r="AJ38" s="311" t="str">
        <f t="shared" si="25"/>
        <v xml:space="preserve">Amtsgericht Musterstadt
Betreuungsabteilung
Postfach 1234
</v>
      </c>
    </row>
    <row r="39" spans="1:36" ht="25" customHeight="1">
      <c r="A39" s="87">
        <v>34</v>
      </c>
      <c r="B39" s="750"/>
      <c r="C39" s="751"/>
      <c r="D39" s="752"/>
      <c r="E39" s="751"/>
      <c r="F39" s="751"/>
      <c r="G39" s="751"/>
      <c r="H39" s="746" t="s">
        <v>89</v>
      </c>
      <c r="I39" s="88" t="s">
        <v>157</v>
      </c>
      <c r="J39" s="467" t="str">
        <f t="shared" si="17"/>
        <v/>
      </c>
      <c r="K39" s="89">
        <f t="shared" si="29"/>
        <v>306</v>
      </c>
      <c r="L39" s="90">
        <f t="shared" si="30"/>
        <v>102</v>
      </c>
      <c r="M39" s="91">
        <f t="shared" si="31"/>
        <v>26</v>
      </c>
      <c r="N39" s="60">
        <f t="shared" si="32"/>
        <v>101.93333333333334</v>
      </c>
      <c r="O39" s="60">
        <f t="shared" si="33"/>
        <v>305.8</v>
      </c>
      <c r="P39" s="60">
        <f t="shared" si="34"/>
        <v>25.483333333333334</v>
      </c>
      <c r="Q39" s="92">
        <f t="shared" si="35"/>
        <v>24</v>
      </c>
      <c r="R39" s="92">
        <f t="shared" si="36"/>
        <v>5</v>
      </c>
      <c r="S39" s="92">
        <f t="shared" si="37"/>
        <v>25</v>
      </c>
      <c r="T39" s="93">
        <f t="shared" si="38"/>
        <v>0</v>
      </c>
      <c r="U39" s="93">
        <f t="shared" si="39"/>
        <v>0</v>
      </c>
      <c r="V39" s="93">
        <f t="shared" si="40"/>
        <v>0</v>
      </c>
      <c r="W39" s="60">
        <f t="shared" si="26"/>
        <v>24</v>
      </c>
      <c r="X39" s="60">
        <f t="shared" si="27"/>
        <v>5</v>
      </c>
      <c r="Y39" s="60">
        <f t="shared" si="28"/>
        <v>25</v>
      </c>
      <c r="Z39" s="94" t="str">
        <f t="shared" si="41"/>
        <v/>
      </c>
      <c r="AA39" s="95" t="str">
        <f t="shared" si="42"/>
        <v/>
      </c>
      <c r="AB39" s="84">
        <f t="shared" si="18"/>
        <v>0</v>
      </c>
      <c r="AC39" s="1310" t="str">
        <f t="shared" si="19"/>
        <v/>
      </c>
      <c r="AD39" s="85"/>
      <c r="AE39" s="45">
        <f t="shared" si="20"/>
        <v>25</v>
      </c>
      <c r="AF39" s="74">
        <f t="shared" si="21"/>
        <v>0</v>
      </c>
      <c r="AG39" s="86" t="str">
        <f t="shared" si="43"/>
        <v/>
      </c>
      <c r="AH39" s="40"/>
      <c r="AI39" s="308" t="s">
        <v>97</v>
      </c>
      <c r="AJ39" s="311" t="str">
        <f t="shared" si="25"/>
        <v xml:space="preserve">Amtsgericht Musterstadt
Betreuungsabteilung
Postfach 1234
</v>
      </c>
    </row>
    <row r="40" spans="1:36" ht="25" customHeight="1">
      <c r="A40" s="87">
        <v>35</v>
      </c>
      <c r="B40" s="750"/>
      <c r="C40" s="751"/>
      <c r="D40" s="752"/>
      <c r="E40" s="751"/>
      <c r="F40" s="751"/>
      <c r="G40" s="751"/>
      <c r="H40" s="746" t="s">
        <v>89</v>
      </c>
      <c r="I40" s="88" t="s">
        <v>157</v>
      </c>
      <c r="J40" s="467" t="str">
        <f t="shared" si="17"/>
        <v/>
      </c>
      <c r="K40" s="89">
        <f t="shared" si="29"/>
        <v>306</v>
      </c>
      <c r="L40" s="90">
        <f t="shared" si="30"/>
        <v>102</v>
      </c>
      <c r="M40" s="91">
        <f t="shared" si="31"/>
        <v>26</v>
      </c>
      <c r="N40" s="60">
        <f t="shared" si="32"/>
        <v>101.93333333333334</v>
      </c>
      <c r="O40" s="60">
        <f t="shared" si="33"/>
        <v>305.8</v>
      </c>
      <c r="P40" s="60">
        <f t="shared" si="34"/>
        <v>25.483333333333334</v>
      </c>
      <c r="Q40" s="92">
        <f t="shared" si="35"/>
        <v>24</v>
      </c>
      <c r="R40" s="92">
        <f t="shared" si="36"/>
        <v>5</v>
      </c>
      <c r="S40" s="92">
        <f t="shared" si="37"/>
        <v>25</v>
      </c>
      <c r="T40" s="93">
        <f t="shared" si="38"/>
        <v>0</v>
      </c>
      <c r="U40" s="93">
        <f t="shared" si="39"/>
        <v>0</v>
      </c>
      <c r="V40" s="93">
        <f t="shared" si="40"/>
        <v>0</v>
      </c>
      <c r="W40" s="60">
        <f t="shared" si="26"/>
        <v>24</v>
      </c>
      <c r="X40" s="60">
        <f t="shared" si="27"/>
        <v>5</v>
      </c>
      <c r="Y40" s="60">
        <f t="shared" si="28"/>
        <v>25</v>
      </c>
      <c r="Z40" s="94" t="str">
        <f t="shared" si="41"/>
        <v/>
      </c>
      <c r="AA40" s="95" t="str">
        <f t="shared" si="42"/>
        <v/>
      </c>
      <c r="AB40" s="84">
        <f t="shared" si="18"/>
        <v>0</v>
      </c>
      <c r="AC40" s="1310" t="str">
        <f t="shared" si="19"/>
        <v/>
      </c>
      <c r="AD40" s="85"/>
      <c r="AE40" s="45">
        <f t="shared" si="20"/>
        <v>25</v>
      </c>
      <c r="AF40" s="74">
        <f t="shared" si="21"/>
        <v>0</v>
      </c>
      <c r="AG40" s="86" t="str">
        <f t="shared" si="43"/>
        <v/>
      </c>
      <c r="AH40" s="40"/>
      <c r="AI40" s="308" t="s">
        <v>98</v>
      </c>
      <c r="AJ40" s="311">
        <f t="shared" si="25"/>
        <v>0</v>
      </c>
    </row>
    <row r="41" spans="1:36" ht="25" customHeight="1">
      <c r="A41" s="87">
        <v>36</v>
      </c>
      <c r="B41" s="750"/>
      <c r="C41" s="751"/>
      <c r="D41" s="752"/>
      <c r="E41" s="751"/>
      <c r="F41" s="751"/>
      <c r="G41" s="751"/>
      <c r="H41" s="746" t="s">
        <v>89</v>
      </c>
      <c r="I41" s="88" t="s">
        <v>157</v>
      </c>
      <c r="J41" s="467" t="str">
        <f t="shared" si="17"/>
        <v/>
      </c>
      <c r="K41" s="89">
        <f t="shared" si="29"/>
        <v>306</v>
      </c>
      <c r="L41" s="90">
        <f t="shared" si="30"/>
        <v>102</v>
      </c>
      <c r="M41" s="91">
        <f t="shared" si="31"/>
        <v>26</v>
      </c>
      <c r="N41" s="60">
        <f t="shared" si="32"/>
        <v>101.93333333333334</v>
      </c>
      <c r="O41" s="60">
        <f t="shared" si="33"/>
        <v>305.8</v>
      </c>
      <c r="P41" s="60">
        <f t="shared" si="34"/>
        <v>25.483333333333334</v>
      </c>
      <c r="Q41" s="92">
        <f t="shared" si="35"/>
        <v>24</v>
      </c>
      <c r="R41" s="92">
        <f t="shared" si="36"/>
        <v>5</v>
      </c>
      <c r="S41" s="92">
        <f t="shared" si="37"/>
        <v>25</v>
      </c>
      <c r="T41" s="93">
        <f t="shared" si="38"/>
        <v>0</v>
      </c>
      <c r="U41" s="93">
        <f t="shared" si="39"/>
        <v>0</v>
      </c>
      <c r="V41" s="93">
        <f t="shared" si="40"/>
        <v>0</v>
      </c>
      <c r="W41" s="60">
        <f t="shared" si="26"/>
        <v>24</v>
      </c>
      <c r="X41" s="60">
        <f t="shared" si="27"/>
        <v>5</v>
      </c>
      <c r="Y41" s="60">
        <f t="shared" si="28"/>
        <v>25</v>
      </c>
      <c r="Z41" s="94" t="str">
        <f t="shared" si="41"/>
        <v/>
      </c>
      <c r="AA41" s="95" t="str">
        <f t="shared" si="42"/>
        <v/>
      </c>
      <c r="AB41" s="84">
        <f t="shared" si="18"/>
        <v>0</v>
      </c>
      <c r="AC41" s="1310" t="str">
        <f t="shared" si="19"/>
        <v/>
      </c>
      <c r="AD41" s="85"/>
      <c r="AE41" s="45">
        <f t="shared" si="20"/>
        <v>25</v>
      </c>
      <c r="AF41" s="74">
        <f t="shared" si="21"/>
        <v>0</v>
      </c>
      <c r="AG41" s="86" t="str">
        <f t="shared" si="43"/>
        <v/>
      </c>
      <c r="AH41" s="40"/>
      <c r="AI41" s="308" t="s">
        <v>99</v>
      </c>
      <c r="AJ41" s="311">
        <f t="shared" si="25"/>
        <v>0</v>
      </c>
    </row>
    <row r="42" spans="1:36" ht="25" customHeight="1">
      <c r="A42" s="87">
        <v>37</v>
      </c>
      <c r="B42" s="750"/>
      <c r="C42" s="751"/>
      <c r="D42" s="759"/>
      <c r="E42" s="751"/>
      <c r="F42" s="751"/>
      <c r="G42" s="751"/>
      <c r="H42" s="746" t="s">
        <v>89</v>
      </c>
      <c r="I42" s="88" t="s">
        <v>157</v>
      </c>
      <c r="J42" s="467" t="str">
        <f t="shared" si="17"/>
        <v/>
      </c>
      <c r="K42" s="89">
        <f t="shared" si="29"/>
        <v>306</v>
      </c>
      <c r="L42" s="90">
        <f t="shared" si="30"/>
        <v>102</v>
      </c>
      <c r="M42" s="91">
        <f t="shared" si="31"/>
        <v>26</v>
      </c>
      <c r="N42" s="60">
        <f t="shared" si="32"/>
        <v>101.93333333333334</v>
      </c>
      <c r="O42" s="60">
        <f t="shared" si="33"/>
        <v>305.8</v>
      </c>
      <c r="P42" s="60">
        <f t="shared" si="34"/>
        <v>25.483333333333334</v>
      </c>
      <c r="Q42" s="92">
        <f t="shared" si="35"/>
        <v>24</v>
      </c>
      <c r="R42" s="92">
        <f t="shared" si="36"/>
        <v>5</v>
      </c>
      <c r="S42" s="92">
        <f t="shared" si="37"/>
        <v>25</v>
      </c>
      <c r="T42" s="93">
        <f t="shared" si="38"/>
        <v>0</v>
      </c>
      <c r="U42" s="93">
        <f t="shared" si="39"/>
        <v>0</v>
      </c>
      <c r="V42" s="93">
        <f t="shared" si="40"/>
        <v>0</v>
      </c>
      <c r="W42" s="60">
        <f t="shared" si="26"/>
        <v>24</v>
      </c>
      <c r="X42" s="60">
        <f t="shared" si="27"/>
        <v>5</v>
      </c>
      <c r="Y42" s="60">
        <f t="shared" si="28"/>
        <v>25</v>
      </c>
      <c r="Z42" s="94" t="str">
        <f t="shared" si="41"/>
        <v/>
      </c>
      <c r="AA42" s="95" t="str">
        <f t="shared" si="42"/>
        <v/>
      </c>
      <c r="AB42" s="84">
        <f t="shared" si="18"/>
        <v>0</v>
      </c>
      <c r="AC42" s="1310" t="str">
        <f t="shared" si="19"/>
        <v/>
      </c>
      <c r="AD42" s="85"/>
      <c r="AE42" s="45">
        <f t="shared" si="20"/>
        <v>25</v>
      </c>
      <c r="AF42" s="74">
        <f t="shared" si="21"/>
        <v>0</v>
      </c>
      <c r="AG42" s="86" t="str">
        <f t="shared" si="43"/>
        <v/>
      </c>
      <c r="AH42" s="40"/>
      <c r="AI42" s="308" t="s">
        <v>100</v>
      </c>
      <c r="AJ42" s="311">
        <f t="shared" si="25"/>
        <v>0</v>
      </c>
    </row>
    <row r="43" spans="1:36" ht="25" customHeight="1">
      <c r="A43" s="87">
        <v>38</v>
      </c>
      <c r="B43" s="750"/>
      <c r="C43" s="751"/>
      <c r="D43" s="752"/>
      <c r="E43" s="751"/>
      <c r="F43" s="751"/>
      <c r="G43" s="751"/>
      <c r="H43" s="746" t="s">
        <v>89</v>
      </c>
      <c r="I43" s="88" t="s">
        <v>157</v>
      </c>
      <c r="J43" s="467" t="str">
        <f t="shared" si="17"/>
        <v/>
      </c>
      <c r="K43" s="89">
        <f t="shared" si="29"/>
        <v>306</v>
      </c>
      <c r="L43" s="90">
        <f t="shared" si="30"/>
        <v>102</v>
      </c>
      <c r="M43" s="91">
        <f t="shared" si="31"/>
        <v>26</v>
      </c>
      <c r="N43" s="60">
        <f t="shared" si="32"/>
        <v>101.93333333333334</v>
      </c>
      <c r="O43" s="60">
        <f t="shared" si="33"/>
        <v>305.8</v>
      </c>
      <c r="P43" s="60">
        <f t="shared" si="34"/>
        <v>25.483333333333334</v>
      </c>
      <c r="Q43" s="92">
        <f t="shared" si="35"/>
        <v>24</v>
      </c>
      <c r="R43" s="92">
        <f t="shared" si="36"/>
        <v>5</v>
      </c>
      <c r="S43" s="92">
        <f t="shared" si="37"/>
        <v>25</v>
      </c>
      <c r="T43" s="93">
        <f t="shared" si="38"/>
        <v>0</v>
      </c>
      <c r="U43" s="93">
        <f t="shared" si="39"/>
        <v>0</v>
      </c>
      <c r="V43" s="93">
        <f t="shared" si="40"/>
        <v>0</v>
      </c>
      <c r="W43" s="60">
        <f t="shared" si="26"/>
        <v>24</v>
      </c>
      <c r="X43" s="60">
        <f t="shared" si="27"/>
        <v>5</v>
      </c>
      <c r="Y43" s="60">
        <f t="shared" si="28"/>
        <v>25</v>
      </c>
      <c r="Z43" s="94" t="str">
        <f t="shared" si="41"/>
        <v/>
      </c>
      <c r="AA43" s="95" t="str">
        <f t="shared" si="42"/>
        <v/>
      </c>
      <c r="AB43" s="84">
        <f t="shared" si="18"/>
        <v>0</v>
      </c>
      <c r="AC43" s="1310" t="str">
        <f t="shared" si="19"/>
        <v/>
      </c>
      <c r="AD43" s="85"/>
      <c r="AE43" s="45">
        <f t="shared" si="20"/>
        <v>25</v>
      </c>
      <c r="AF43" s="74">
        <f t="shared" si="21"/>
        <v>0</v>
      </c>
      <c r="AG43" s="86" t="str">
        <f t="shared" si="43"/>
        <v/>
      </c>
      <c r="AH43" s="40"/>
      <c r="AI43" s="308" t="s">
        <v>101</v>
      </c>
      <c r="AJ43" s="311">
        <f t="shared" si="25"/>
        <v>0</v>
      </c>
    </row>
    <row r="44" spans="1:36" ht="25" customHeight="1">
      <c r="A44" s="87">
        <v>39</v>
      </c>
      <c r="B44" s="750"/>
      <c r="C44" s="751"/>
      <c r="D44" s="752"/>
      <c r="E44" s="751"/>
      <c r="F44" s="751"/>
      <c r="G44" s="751"/>
      <c r="H44" s="746" t="s">
        <v>89</v>
      </c>
      <c r="I44" s="88" t="s">
        <v>157</v>
      </c>
      <c r="J44" s="467" t="str">
        <f t="shared" si="17"/>
        <v/>
      </c>
      <c r="K44" s="89">
        <f t="shared" si="29"/>
        <v>306</v>
      </c>
      <c r="L44" s="90">
        <f t="shared" si="30"/>
        <v>102</v>
      </c>
      <c r="M44" s="91">
        <f t="shared" si="31"/>
        <v>26</v>
      </c>
      <c r="N44" s="60">
        <f t="shared" si="32"/>
        <v>101.93333333333334</v>
      </c>
      <c r="O44" s="60">
        <f t="shared" si="33"/>
        <v>305.8</v>
      </c>
      <c r="P44" s="60">
        <f t="shared" si="34"/>
        <v>25.483333333333334</v>
      </c>
      <c r="Q44" s="92">
        <f t="shared" si="35"/>
        <v>24</v>
      </c>
      <c r="R44" s="92">
        <f t="shared" si="36"/>
        <v>5</v>
      </c>
      <c r="S44" s="92">
        <f t="shared" si="37"/>
        <v>25</v>
      </c>
      <c r="T44" s="93">
        <f t="shared" si="38"/>
        <v>0</v>
      </c>
      <c r="U44" s="93">
        <f t="shared" si="39"/>
        <v>0</v>
      </c>
      <c r="V44" s="93">
        <f t="shared" si="40"/>
        <v>0</v>
      </c>
      <c r="W44" s="60">
        <f t="shared" si="26"/>
        <v>24</v>
      </c>
      <c r="X44" s="60">
        <f t="shared" si="27"/>
        <v>5</v>
      </c>
      <c r="Y44" s="60">
        <f t="shared" si="28"/>
        <v>25</v>
      </c>
      <c r="Z44" s="94" t="str">
        <f t="shared" si="41"/>
        <v/>
      </c>
      <c r="AA44" s="95" t="str">
        <f t="shared" si="42"/>
        <v/>
      </c>
      <c r="AB44" s="84">
        <f t="shared" si="18"/>
        <v>0</v>
      </c>
      <c r="AC44" s="1310" t="str">
        <f t="shared" si="19"/>
        <v/>
      </c>
      <c r="AD44" s="85"/>
      <c r="AE44" s="45">
        <f t="shared" si="20"/>
        <v>25</v>
      </c>
      <c r="AF44" s="74">
        <f t="shared" si="21"/>
        <v>0</v>
      </c>
      <c r="AG44" s="86" t="str">
        <f t="shared" si="43"/>
        <v/>
      </c>
      <c r="AH44" s="40"/>
      <c r="AI44" s="308" t="s">
        <v>102</v>
      </c>
      <c r="AJ44" s="311">
        <f t="shared" si="25"/>
        <v>0</v>
      </c>
    </row>
    <row r="45" spans="1:36" ht="25" customHeight="1">
      <c r="A45" s="87">
        <v>40</v>
      </c>
      <c r="B45" s="750"/>
      <c r="C45" s="751"/>
      <c r="D45" s="752"/>
      <c r="E45" s="751"/>
      <c r="F45" s="751"/>
      <c r="G45" s="751"/>
      <c r="H45" s="746" t="s">
        <v>89</v>
      </c>
      <c r="I45" s="88" t="s">
        <v>157</v>
      </c>
      <c r="J45" s="467" t="str">
        <f t="shared" si="17"/>
        <v/>
      </c>
      <c r="K45" s="89">
        <f t="shared" si="29"/>
        <v>306</v>
      </c>
      <c r="L45" s="90">
        <f t="shared" si="30"/>
        <v>102</v>
      </c>
      <c r="M45" s="91">
        <f t="shared" si="31"/>
        <v>26</v>
      </c>
      <c r="N45" s="60">
        <f t="shared" si="32"/>
        <v>101.93333333333334</v>
      </c>
      <c r="O45" s="60">
        <f t="shared" si="33"/>
        <v>305.8</v>
      </c>
      <c r="P45" s="60">
        <f t="shared" si="34"/>
        <v>25.483333333333334</v>
      </c>
      <c r="Q45" s="92">
        <f t="shared" si="35"/>
        <v>24</v>
      </c>
      <c r="R45" s="92">
        <f t="shared" si="36"/>
        <v>5</v>
      </c>
      <c r="S45" s="92">
        <f t="shared" si="37"/>
        <v>25</v>
      </c>
      <c r="T45" s="93">
        <f t="shared" si="38"/>
        <v>0</v>
      </c>
      <c r="U45" s="93">
        <f t="shared" si="39"/>
        <v>0</v>
      </c>
      <c r="V45" s="93">
        <f t="shared" si="40"/>
        <v>0</v>
      </c>
      <c r="W45" s="60">
        <f t="shared" si="26"/>
        <v>24</v>
      </c>
      <c r="X45" s="60">
        <f t="shared" si="27"/>
        <v>5</v>
      </c>
      <c r="Y45" s="60">
        <f t="shared" si="28"/>
        <v>25</v>
      </c>
      <c r="Z45" s="94" t="str">
        <f t="shared" si="41"/>
        <v/>
      </c>
      <c r="AA45" s="95" t="str">
        <f t="shared" si="42"/>
        <v/>
      </c>
      <c r="AB45" s="84">
        <f t="shared" si="18"/>
        <v>0</v>
      </c>
      <c r="AC45" s="1310" t="str">
        <f t="shared" si="19"/>
        <v/>
      </c>
      <c r="AD45" s="85"/>
      <c r="AE45" s="45">
        <f t="shared" si="20"/>
        <v>25</v>
      </c>
      <c r="AF45" s="74">
        <f t="shared" si="21"/>
        <v>0</v>
      </c>
      <c r="AG45" s="86" t="str">
        <f t="shared" si="43"/>
        <v/>
      </c>
      <c r="AH45" s="40"/>
      <c r="AI45" s="308" t="s">
        <v>103</v>
      </c>
      <c r="AJ45" s="311">
        <f t="shared" si="25"/>
        <v>0</v>
      </c>
    </row>
    <row r="46" spans="1:36" ht="25" customHeight="1">
      <c r="A46" s="87">
        <v>41</v>
      </c>
      <c r="B46" s="750"/>
      <c r="C46" s="751"/>
      <c r="D46" s="752"/>
      <c r="E46" s="751"/>
      <c r="F46" s="751"/>
      <c r="G46" s="751"/>
      <c r="H46" s="746" t="s">
        <v>89</v>
      </c>
      <c r="I46" s="88" t="s">
        <v>157</v>
      </c>
      <c r="J46" s="467" t="str">
        <f t="shared" si="17"/>
        <v/>
      </c>
      <c r="K46" s="89">
        <f t="shared" si="29"/>
        <v>306</v>
      </c>
      <c r="L46" s="90">
        <f t="shared" si="30"/>
        <v>102</v>
      </c>
      <c r="M46" s="91">
        <f t="shared" si="31"/>
        <v>26</v>
      </c>
      <c r="N46" s="60">
        <f t="shared" si="32"/>
        <v>101.93333333333334</v>
      </c>
      <c r="O46" s="60">
        <f t="shared" si="33"/>
        <v>305.8</v>
      </c>
      <c r="P46" s="60">
        <f t="shared" si="34"/>
        <v>25.483333333333334</v>
      </c>
      <c r="Q46" s="92">
        <f t="shared" si="35"/>
        <v>24</v>
      </c>
      <c r="R46" s="92">
        <f t="shared" si="36"/>
        <v>5</v>
      </c>
      <c r="S46" s="92">
        <f t="shared" si="37"/>
        <v>25</v>
      </c>
      <c r="T46" s="93">
        <f t="shared" si="38"/>
        <v>0</v>
      </c>
      <c r="U46" s="93">
        <f t="shared" si="39"/>
        <v>0</v>
      </c>
      <c r="V46" s="93">
        <f t="shared" si="40"/>
        <v>0</v>
      </c>
      <c r="W46" s="60">
        <f t="shared" si="26"/>
        <v>24</v>
      </c>
      <c r="X46" s="60">
        <f t="shared" si="27"/>
        <v>5</v>
      </c>
      <c r="Y46" s="60">
        <f t="shared" si="28"/>
        <v>25</v>
      </c>
      <c r="Z46" s="94" t="str">
        <f t="shared" si="41"/>
        <v/>
      </c>
      <c r="AA46" s="95" t="str">
        <f t="shared" si="42"/>
        <v/>
      </c>
      <c r="AB46" s="84">
        <f t="shared" si="18"/>
        <v>0</v>
      </c>
      <c r="AC46" s="1310" t="str">
        <f t="shared" si="19"/>
        <v/>
      </c>
      <c r="AD46" s="85"/>
      <c r="AE46" s="45">
        <f t="shared" si="20"/>
        <v>25</v>
      </c>
      <c r="AF46" s="74">
        <f t="shared" si="21"/>
        <v>0</v>
      </c>
      <c r="AG46" s="86" t="str">
        <f t="shared" si="43"/>
        <v/>
      </c>
      <c r="AH46" s="40"/>
      <c r="AI46" s="308" t="s">
        <v>107</v>
      </c>
      <c r="AJ46" s="311">
        <f t="shared" si="25"/>
        <v>0</v>
      </c>
    </row>
    <row r="47" spans="1:36" ht="25" customHeight="1">
      <c r="A47" s="87">
        <v>42</v>
      </c>
      <c r="B47" s="750"/>
      <c r="C47" s="751"/>
      <c r="D47" s="757"/>
      <c r="E47" s="751"/>
      <c r="F47" s="751"/>
      <c r="G47" s="751"/>
      <c r="H47" s="746" t="s">
        <v>89</v>
      </c>
      <c r="I47" s="88" t="s">
        <v>157</v>
      </c>
      <c r="J47" s="467" t="str">
        <f t="shared" si="17"/>
        <v/>
      </c>
      <c r="K47" s="89">
        <f t="shared" si="29"/>
        <v>306</v>
      </c>
      <c r="L47" s="90">
        <f t="shared" si="30"/>
        <v>102</v>
      </c>
      <c r="M47" s="91">
        <f t="shared" si="31"/>
        <v>26</v>
      </c>
      <c r="N47" s="60">
        <f t="shared" si="32"/>
        <v>101.93333333333334</v>
      </c>
      <c r="O47" s="60">
        <f t="shared" si="33"/>
        <v>305.8</v>
      </c>
      <c r="P47" s="60">
        <f t="shared" si="34"/>
        <v>25.483333333333334</v>
      </c>
      <c r="Q47" s="92">
        <f t="shared" si="35"/>
        <v>24</v>
      </c>
      <c r="R47" s="92">
        <f t="shared" si="36"/>
        <v>5</v>
      </c>
      <c r="S47" s="92">
        <f t="shared" si="37"/>
        <v>25</v>
      </c>
      <c r="T47" s="93">
        <f t="shared" si="38"/>
        <v>0</v>
      </c>
      <c r="U47" s="93">
        <f t="shared" si="39"/>
        <v>0</v>
      </c>
      <c r="V47" s="93">
        <f t="shared" si="40"/>
        <v>0</v>
      </c>
      <c r="W47" s="60">
        <f t="shared" si="26"/>
        <v>24</v>
      </c>
      <c r="X47" s="60">
        <f t="shared" si="27"/>
        <v>5</v>
      </c>
      <c r="Y47" s="60">
        <f t="shared" si="28"/>
        <v>25</v>
      </c>
      <c r="Z47" s="94" t="str">
        <f t="shared" si="41"/>
        <v/>
      </c>
      <c r="AA47" s="95" t="str">
        <f t="shared" si="42"/>
        <v/>
      </c>
      <c r="AB47" s="84">
        <f t="shared" si="18"/>
        <v>0</v>
      </c>
      <c r="AC47" s="1310" t="str">
        <f t="shared" si="19"/>
        <v/>
      </c>
      <c r="AD47" s="85"/>
      <c r="AE47" s="45">
        <f t="shared" si="20"/>
        <v>25</v>
      </c>
      <c r="AF47" s="74">
        <f t="shared" si="21"/>
        <v>0</v>
      </c>
      <c r="AG47" s="86" t="str">
        <f t="shared" si="43"/>
        <v/>
      </c>
      <c r="AH47" s="40"/>
      <c r="AI47" s="308" t="s">
        <v>108</v>
      </c>
      <c r="AJ47" s="311">
        <f t="shared" si="25"/>
        <v>0</v>
      </c>
    </row>
    <row r="48" spans="1:36" ht="25" customHeight="1">
      <c r="A48" s="87">
        <v>43</v>
      </c>
      <c r="B48" s="760"/>
      <c r="C48" s="761"/>
      <c r="D48" s="752"/>
      <c r="E48" s="751"/>
      <c r="F48" s="751"/>
      <c r="G48" s="751"/>
      <c r="H48" s="746" t="s">
        <v>89</v>
      </c>
      <c r="I48" s="88" t="s">
        <v>157</v>
      </c>
      <c r="J48" s="467" t="str">
        <f t="shared" si="17"/>
        <v/>
      </c>
      <c r="K48" s="89">
        <f t="shared" si="29"/>
        <v>306</v>
      </c>
      <c r="L48" s="90">
        <f t="shared" si="30"/>
        <v>102</v>
      </c>
      <c r="M48" s="91">
        <f t="shared" si="31"/>
        <v>26</v>
      </c>
      <c r="N48" s="60">
        <f t="shared" si="32"/>
        <v>101.93333333333334</v>
      </c>
      <c r="O48" s="60">
        <f t="shared" si="33"/>
        <v>305.8</v>
      </c>
      <c r="P48" s="60">
        <f t="shared" si="34"/>
        <v>25.483333333333334</v>
      </c>
      <c r="Q48" s="92">
        <f t="shared" si="35"/>
        <v>24</v>
      </c>
      <c r="R48" s="92">
        <f t="shared" si="36"/>
        <v>5</v>
      </c>
      <c r="S48" s="92">
        <f t="shared" si="37"/>
        <v>25</v>
      </c>
      <c r="T48" s="93">
        <f t="shared" si="38"/>
        <v>0</v>
      </c>
      <c r="U48" s="93">
        <f t="shared" si="39"/>
        <v>0</v>
      </c>
      <c r="V48" s="93">
        <f t="shared" si="40"/>
        <v>0</v>
      </c>
      <c r="W48" s="60">
        <f t="shared" si="26"/>
        <v>24</v>
      </c>
      <c r="X48" s="60">
        <f t="shared" si="27"/>
        <v>5</v>
      </c>
      <c r="Y48" s="60">
        <f t="shared" si="28"/>
        <v>25</v>
      </c>
      <c r="Z48" s="94" t="str">
        <f t="shared" si="41"/>
        <v/>
      </c>
      <c r="AA48" s="95" t="str">
        <f t="shared" si="42"/>
        <v/>
      </c>
      <c r="AB48" s="84">
        <f t="shared" si="18"/>
        <v>0</v>
      </c>
      <c r="AC48" s="1310" t="str">
        <f t="shared" si="19"/>
        <v/>
      </c>
      <c r="AD48" s="85"/>
      <c r="AE48" s="45">
        <f t="shared" si="20"/>
        <v>25</v>
      </c>
      <c r="AF48" s="74">
        <f t="shared" si="21"/>
        <v>0</v>
      </c>
      <c r="AG48" s="86" t="str">
        <f t="shared" si="43"/>
        <v/>
      </c>
      <c r="AH48" s="40"/>
      <c r="AI48" s="308" t="s">
        <v>109</v>
      </c>
      <c r="AJ48" s="311">
        <f t="shared" si="25"/>
        <v>0</v>
      </c>
    </row>
    <row r="49" spans="1:36" ht="25" customHeight="1">
      <c r="A49" s="87">
        <v>44</v>
      </c>
      <c r="B49" s="762"/>
      <c r="C49" s="751"/>
      <c r="D49" s="763"/>
      <c r="E49" s="751"/>
      <c r="F49" s="751"/>
      <c r="G49" s="751"/>
      <c r="H49" s="746" t="s">
        <v>89</v>
      </c>
      <c r="I49" s="88" t="s">
        <v>157</v>
      </c>
      <c r="J49" s="467" t="str">
        <f t="shared" si="17"/>
        <v/>
      </c>
      <c r="K49" s="89">
        <f t="shared" si="29"/>
        <v>306</v>
      </c>
      <c r="L49" s="90">
        <f t="shared" si="30"/>
        <v>102</v>
      </c>
      <c r="M49" s="91">
        <f t="shared" si="31"/>
        <v>26</v>
      </c>
      <c r="N49" s="60">
        <f t="shared" si="32"/>
        <v>101.93333333333334</v>
      </c>
      <c r="O49" s="60">
        <f t="shared" si="33"/>
        <v>305.8</v>
      </c>
      <c r="P49" s="60">
        <f t="shared" si="34"/>
        <v>25.483333333333334</v>
      </c>
      <c r="Q49" s="92">
        <f t="shared" si="35"/>
        <v>24</v>
      </c>
      <c r="R49" s="92">
        <f t="shared" si="36"/>
        <v>5</v>
      </c>
      <c r="S49" s="92">
        <f t="shared" si="37"/>
        <v>25</v>
      </c>
      <c r="T49" s="93">
        <f t="shared" si="38"/>
        <v>0</v>
      </c>
      <c r="U49" s="93">
        <f t="shared" si="39"/>
        <v>0</v>
      </c>
      <c r="V49" s="93">
        <f t="shared" si="40"/>
        <v>0</v>
      </c>
      <c r="W49" s="60">
        <f t="shared" si="26"/>
        <v>24</v>
      </c>
      <c r="X49" s="60">
        <f t="shared" si="27"/>
        <v>5</v>
      </c>
      <c r="Y49" s="60">
        <f t="shared" si="28"/>
        <v>25</v>
      </c>
      <c r="Z49" s="94" t="str">
        <f t="shared" si="41"/>
        <v/>
      </c>
      <c r="AA49" s="95" t="str">
        <f t="shared" si="42"/>
        <v/>
      </c>
      <c r="AB49" s="84">
        <f t="shared" si="18"/>
        <v>0</v>
      </c>
      <c r="AC49" s="1310" t="str">
        <f t="shared" si="19"/>
        <v/>
      </c>
      <c r="AD49" s="85"/>
      <c r="AE49" s="45">
        <f t="shared" si="20"/>
        <v>25</v>
      </c>
      <c r="AF49" s="74">
        <f t="shared" si="21"/>
        <v>0</v>
      </c>
      <c r="AG49" s="86" t="str">
        <f t="shared" si="43"/>
        <v/>
      </c>
      <c r="AH49" s="40"/>
      <c r="AI49" s="308" t="s">
        <v>110</v>
      </c>
      <c r="AJ49" s="311">
        <f t="shared" si="25"/>
        <v>0</v>
      </c>
    </row>
    <row r="50" spans="1:36" ht="25" customHeight="1">
      <c r="A50" s="87">
        <v>45</v>
      </c>
      <c r="B50" s="762"/>
      <c r="C50" s="751"/>
      <c r="D50" s="757"/>
      <c r="E50" s="751"/>
      <c r="F50" s="751"/>
      <c r="G50" s="751"/>
      <c r="H50" s="746" t="s">
        <v>89</v>
      </c>
      <c r="I50" s="88" t="s">
        <v>157</v>
      </c>
      <c r="J50" s="467" t="str">
        <f t="shared" si="17"/>
        <v/>
      </c>
      <c r="K50" s="89">
        <f t="shared" si="29"/>
        <v>306</v>
      </c>
      <c r="L50" s="90">
        <f t="shared" si="30"/>
        <v>102</v>
      </c>
      <c r="M50" s="91">
        <f t="shared" si="31"/>
        <v>26</v>
      </c>
      <c r="N50" s="60">
        <f t="shared" si="32"/>
        <v>101.93333333333334</v>
      </c>
      <c r="O50" s="60">
        <f t="shared" si="33"/>
        <v>305.8</v>
      </c>
      <c r="P50" s="60">
        <f t="shared" si="34"/>
        <v>25.483333333333334</v>
      </c>
      <c r="Q50" s="92">
        <f t="shared" si="35"/>
        <v>24</v>
      </c>
      <c r="R50" s="92">
        <f t="shared" si="36"/>
        <v>5</v>
      </c>
      <c r="S50" s="92">
        <f t="shared" si="37"/>
        <v>25</v>
      </c>
      <c r="T50" s="93">
        <f t="shared" si="38"/>
        <v>0</v>
      </c>
      <c r="U50" s="93">
        <f t="shared" si="39"/>
        <v>0</v>
      </c>
      <c r="V50" s="93">
        <f t="shared" si="40"/>
        <v>0</v>
      </c>
      <c r="W50" s="60">
        <f t="shared" si="26"/>
        <v>24</v>
      </c>
      <c r="X50" s="60">
        <f t="shared" si="27"/>
        <v>5</v>
      </c>
      <c r="Y50" s="60">
        <f t="shared" si="28"/>
        <v>25</v>
      </c>
      <c r="Z50" s="94" t="str">
        <f t="shared" si="41"/>
        <v/>
      </c>
      <c r="AA50" s="95" t="str">
        <f t="shared" si="42"/>
        <v/>
      </c>
      <c r="AB50" s="84">
        <f t="shared" si="18"/>
        <v>0</v>
      </c>
      <c r="AC50" s="1310" t="str">
        <f t="shared" si="19"/>
        <v/>
      </c>
      <c r="AD50" s="85"/>
      <c r="AE50" s="45">
        <f t="shared" si="20"/>
        <v>25</v>
      </c>
      <c r="AF50" s="74">
        <f t="shared" si="21"/>
        <v>0</v>
      </c>
      <c r="AG50" s="86" t="str">
        <f t="shared" si="43"/>
        <v/>
      </c>
      <c r="AH50" s="40"/>
      <c r="AI50"/>
      <c r="AJ50"/>
    </row>
    <row r="51" spans="1:36" ht="25" customHeight="1">
      <c r="A51" s="87">
        <v>46</v>
      </c>
      <c r="B51" s="750"/>
      <c r="C51" s="751"/>
      <c r="D51" s="763"/>
      <c r="E51" s="751"/>
      <c r="F51" s="751"/>
      <c r="G51" s="751"/>
      <c r="H51" s="746" t="s">
        <v>89</v>
      </c>
      <c r="I51" s="88" t="s">
        <v>157</v>
      </c>
      <c r="J51" s="467" t="str">
        <f t="shared" si="17"/>
        <v/>
      </c>
      <c r="K51" s="89">
        <f t="shared" si="29"/>
        <v>306</v>
      </c>
      <c r="L51" s="90">
        <f t="shared" si="30"/>
        <v>102</v>
      </c>
      <c r="M51" s="91">
        <f t="shared" si="31"/>
        <v>26</v>
      </c>
      <c r="N51" s="60">
        <f t="shared" si="32"/>
        <v>101.93333333333334</v>
      </c>
      <c r="O51" s="60">
        <f t="shared" si="33"/>
        <v>305.8</v>
      </c>
      <c r="P51" s="60">
        <f t="shared" si="34"/>
        <v>25.483333333333334</v>
      </c>
      <c r="Q51" s="92">
        <f t="shared" si="35"/>
        <v>24</v>
      </c>
      <c r="R51" s="92">
        <f t="shared" si="36"/>
        <v>5</v>
      </c>
      <c r="S51" s="92">
        <f t="shared" si="37"/>
        <v>25</v>
      </c>
      <c r="T51" s="93">
        <f t="shared" si="38"/>
        <v>0</v>
      </c>
      <c r="U51" s="93">
        <f t="shared" si="39"/>
        <v>0</v>
      </c>
      <c r="V51" s="93">
        <f t="shared" si="40"/>
        <v>0</v>
      </c>
      <c r="W51" s="60">
        <f t="shared" si="26"/>
        <v>24</v>
      </c>
      <c r="X51" s="60">
        <f t="shared" si="27"/>
        <v>5</v>
      </c>
      <c r="Y51" s="60">
        <f t="shared" si="28"/>
        <v>25</v>
      </c>
      <c r="Z51" s="94" t="str">
        <f t="shared" si="41"/>
        <v/>
      </c>
      <c r="AA51" s="95" t="str">
        <f t="shared" si="42"/>
        <v/>
      </c>
      <c r="AB51" s="84">
        <f t="shared" si="18"/>
        <v>0</v>
      </c>
      <c r="AC51" s="1310" t="str">
        <f t="shared" si="19"/>
        <v/>
      </c>
      <c r="AD51" s="85"/>
      <c r="AE51" s="45">
        <f t="shared" si="20"/>
        <v>25</v>
      </c>
      <c r="AF51" s="74">
        <f t="shared" si="21"/>
        <v>0</v>
      </c>
      <c r="AG51" s="86" t="str">
        <f t="shared" si="43"/>
        <v/>
      </c>
      <c r="AH51" s="40"/>
      <c r="AI51"/>
      <c r="AJ51"/>
    </row>
    <row r="52" spans="1:36" ht="25" customHeight="1">
      <c r="A52" s="87">
        <v>47</v>
      </c>
      <c r="B52" s="750"/>
      <c r="C52" s="751"/>
      <c r="D52" s="763"/>
      <c r="E52" s="751"/>
      <c r="F52" s="751"/>
      <c r="G52" s="751"/>
      <c r="H52" s="746" t="s">
        <v>89</v>
      </c>
      <c r="I52" s="88" t="s">
        <v>157</v>
      </c>
      <c r="J52" s="467" t="str">
        <f t="shared" si="17"/>
        <v/>
      </c>
      <c r="K52" s="89">
        <f t="shared" si="29"/>
        <v>306</v>
      </c>
      <c r="L52" s="90">
        <f t="shared" si="30"/>
        <v>102</v>
      </c>
      <c r="M52" s="91">
        <f t="shared" si="31"/>
        <v>26</v>
      </c>
      <c r="N52" s="60">
        <f t="shared" si="32"/>
        <v>101.93333333333334</v>
      </c>
      <c r="O52" s="60">
        <f t="shared" si="33"/>
        <v>305.8</v>
      </c>
      <c r="P52" s="60">
        <f t="shared" si="34"/>
        <v>25.483333333333334</v>
      </c>
      <c r="Q52" s="92">
        <f t="shared" si="35"/>
        <v>24</v>
      </c>
      <c r="R52" s="92">
        <f t="shared" si="36"/>
        <v>5</v>
      </c>
      <c r="S52" s="92">
        <f t="shared" si="37"/>
        <v>25</v>
      </c>
      <c r="T52" s="93">
        <f t="shared" si="38"/>
        <v>0</v>
      </c>
      <c r="U52" s="93">
        <f t="shared" si="39"/>
        <v>0</v>
      </c>
      <c r="V52" s="93">
        <f t="shared" si="40"/>
        <v>0</v>
      </c>
      <c r="W52" s="60">
        <f t="shared" si="26"/>
        <v>24</v>
      </c>
      <c r="X52" s="60">
        <f t="shared" si="27"/>
        <v>5</v>
      </c>
      <c r="Y52" s="60">
        <f t="shared" si="28"/>
        <v>25</v>
      </c>
      <c r="Z52" s="94" t="str">
        <f t="shared" si="41"/>
        <v/>
      </c>
      <c r="AA52" s="95" t="str">
        <f t="shared" si="42"/>
        <v/>
      </c>
      <c r="AB52" s="84">
        <f t="shared" si="18"/>
        <v>0</v>
      </c>
      <c r="AC52" s="1310" t="str">
        <f t="shared" si="19"/>
        <v/>
      </c>
      <c r="AD52" s="85"/>
      <c r="AE52" s="45">
        <f t="shared" si="20"/>
        <v>25</v>
      </c>
      <c r="AF52" s="74">
        <f t="shared" si="21"/>
        <v>0</v>
      </c>
      <c r="AG52" s="86" t="str">
        <f t="shared" si="43"/>
        <v/>
      </c>
      <c r="AH52" s="40"/>
      <c r="AI52"/>
      <c r="AJ52"/>
    </row>
    <row r="53" spans="1:36" ht="25" customHeight="1">
      <c r="A53" s="87">
        <v>48</v>
      </c>
      <c r="B53" s="760"/>
      <c r="C53" s="761"/>
      <c r="D53" s="763"/>
      <c r="E53" s="751"/>
      <c r="F53" s="751"/>
      <c r="G53" s="751"/>
      <c r="H53" s="746" t="s">
        <v>89</v>
      </c>
      <c r="I53" s="88" t="s">
        <v>157</v>
      </c>
      <c r="J53" s="467" t="str">
        <f t="shared" si="17"/>
        <v/>
      </c>
      <c r="K53" s="89">
        <f t="shared" si="29"/>
        <v>306</v>
      </c>
      <c r="L53" s="90">
        <f t="shared" si="30"/>
        <v>102</v>
      </c>
      <c r="M53" s="91">
        <f t="shared" si="31"/>
        <v>26</v>
      </c>
      <c r="N53" s="60">
        <f t="shared" si="32"/>
        <v>101.93333333333334</v>
      </c>
      <c r="O53" s="60">
        <f t="shared" si="33"/>
        <v>305.8</v>
      </c>
      <c r="P53" s="60">
        <f t="shared" si="34"/>
        <v>25.483333333333334</v>
      </c>
      <c r="Q53" s="92">
        <f t="shared" si="35"/>
        <v>24</v>
      </c>
      <c r="R53" s="92">
        <f t="shared" si="36"/>
        <v>5</v>
      </c>
      <c r="S53" s="92">
        <f t="shared" si="37"/>
        <v>25</v>
      </c>
      <c r="T53" s="93">
        <f t="shared" si="38"/>
        <v>0</v>
      </c>
      <c r="U53" s="93">
        <f t="shared" si="39"/>
        <v>0</v>
      </c>
      <c r="V53" s="93">
        <f t="shared" si="40"/>
        <v>0</v>
      </c>
      <c r="W53" s="60">
        <f t="shared" si="26"/>
        <v>24</v>
      </c>
      <c r="X53" s="60">
        <f t="shared" si="27"/>
        <v>5</v>
      </c>
      <c r="Y53" s="60">
        <f t="shared" si="28"/>
        <v>25</v>
      </c>
      <c r="Z53" s="94" t="str">
        <f t="shared" si="41"/>
        <v/>
      </c>
      <c r="AA53" s="95" t="str">
        <f t="shared" si="42"/>
        <v/>
      </c>
      <c r="AB53" s="84">
        <f t="shared" si="18"/>
        <v>0</v>
      </c>
      <c r="AC53" s="1310" t="str">
        <f t="shared" si="19"/>
        <v/>
      </c>
      <c r="AD53" s="85"/>
      <c r="AE53" s="45">
        <f t="shared" si="20"/>
        <v>25</v>
      </c>
      <c r="AF53" s="74">
        <f t="shared" si="21"/>
        <v>0</v>
      </c>
      <c r="AG53" s="86" t="str">
        <f t="shared" si="43"/>
        <v/>
      </c>
      <c r="AH53" s="40"/>
      <c r="AI53"/>
      <c r="AJ53"/>
    </row>
    <row r="54" spans="1:36" ht="25" customHeight="1">
      <c r="A54" s="87">
        <v>49</v>
      </c>
      <c r="B54" s="750"/>
      <c r="C54" s="751"/>
      <c r="D54" s="764"/>
      <c r="E54" s="751"/>
      <c r="F54" s="751"/>
      <c r="G54" s="751"/>
      <c r="H54" s="746" t="s">
        <v>89</v>
      </c>
      <c r="I54" s="88" t="s">
        <v>157</v>
      </c>
      <c r="J54" s="467" t="str">
        <f t="shared" si="17"/>
        <v/>
      </c>
      <c r="K54" s="89">
        <f t="shared" si="29"/>
        <v>306</v>
      </c>
      <c r="L54" s="90">
        <f t="shared" si="30"/>
        <v>102</v>
      </c>
      <c r="M54" s="91">
        <f t="shared" si="31"/>
        <v>26</v>
      </c>
      <c r="N54" s="60">
        <f t="shared" si="32"/>
        <v>101.93333333333334</v>
      </c>
      <c r="O54" s="60">
        <f t="shared" si="33"/>
        <v>305.8</v>
      </c>
      <c r="P54" s="60">
        <f t="shared" si="34"/>
        <v>25.483333333333334</v>
      </c>
      <c r="Q54" s="92">
        <f t="shared" si="35"/>
        <v>24</v>
      </c>
      <c r="R54" s="92">
        <f t="shared" si="36"/>
        <v>5</v>
      </c>
      <c r="S54" s="92">
        <f t="shared" si="37"/>
        <v>25</v>
      </c>
      <c r="T54" s="93">
        <f t="shared" si="38"/>
        <v>0</v>
      </c>
      <c r="U54" s="93">
        <f t="shared" si="39"/>
        <v>0</v>
      </c>
      <c r="V54" s="93">
        <f t="shared" si="40"/>
        <v>0</v>
      </c>
      <c r="W54" s="60">
        <f t="shared" si="26"/>
        <v>24</v>
      </c>
      <c r="X54" s="60">
        <f t="shared" si="27"/>
        <v>5</v>
      </c>
      <c r="Y54" s="60">
        <f t="shared" si="28"/>
        <v>25</v>
      </c>
      <c r="Z54" s="94" t="str">
        <f t="shared" si="41"/>
        <v/>
      </c>
      <c r="AA54" s="95" t="str">
        <f t="shared" si="42"/>
        <v/>
      </c>
      <c r="AB54" s="84">
        <f t="shared" si="18"/>
        <v>0</v>
      </c>
      <c r="AC54" s="1310" t="str">
        <f t="shared" si="19"/>
        <v/>
      </c>
      <c r="AD54" s="85"/>
      <c r="AE54" s="45">
        <f t="shared" si="20"/>
        <v>25</v>
      </c>
      <c r="AF54" s="74">
        <f t="shared" si="21"/>
        <v>0</v>
      </c>
      <c r="AG54" s="86" t="str">
        <f t="shared" si="43"/>
        <v/>
      </c>
      <c r="AH54" s="40"/>
      <c r="AI54" s="309" t="s">
        <v>134</v>
      </c>
      <c r="AJ54" s="310" t="s">
        <v>135</v>
      </c>
    </row>
    <row r="55" spans="1:36" ht="25" customHeight="1">
      <c r="A55" s="87">
        <v>50</v>
      </c>
      <c r="B55" s="760"/>
      <c r="C55" s="761"/>
      <c r="D55" s="759"/>
      <c r="E55" s="751"/>
      <c r="F55" s="751"/>
      <c r="G55" s="751"/>
      <c r="H55" s="746" t="s">
        <v>89</v>
      </c>
      <c r="I55" s="88" t="s">
        <v>157</v>
      </c>
      <c r="J55" s="467" t="str">
        <f t="shared" si="17"/>
        <v/>
      </c>
      <c r="K55" s="89">
        <f t="shared" si="29"/>
        <v>306</v>
      </c>
      <c r="L55" s="90">
        <f t="shared" si="30"/>
        <v>102</v>
      </c>
      <c r="M55" s="91">
        <f t="shared" si="31"/>
        <v>26</v>
      </c>
      <c r="N55" s="60">
        <f t="shared" si="32"/>
        <v>101.93333333333334</v>
      </c>
      <c r="O55" s="60">
        <f t="shared" si="33"/>
        <v>305.8</v>
      </c>
      <c r="P55" s="60">
        <f t="shared" si="34"/>
        <v>25.483333333333334</v>
      </c>
      <c r="Q55" s="92">
        <f t="shared" si="35"/>
        <v>24</v>
      </c>
      <c r="R55" s="92">
        <f t="shared" si="36"/>
        <v>5</v>
      </c>
      <c r="S55" s="92">
        <f t="shared" si="37"/>
        <v>25</v>
      </c>
      <c r="T55" s="93">
        <f t="shared" si="38"/>
        <v>0</v>
      </c>
      <c r="U55" s="93">
        <f t="shared" si="39"/>
        <v>0</v>
      </c>
      <c r="V55" s="93">
        <f t="shared" si="40"/>
        <v>0</v>
      </c>
      <c r="W55" s="60">
        <f t="shared" si="26"/>
        <v>24</v>
      </c>
      <c r="X55" s="60">
        <f t="shared" si="27"/>
        <v>5</v>
      </c>
      <c r="Y55" s="60">
        <f t="shared" si="28"/>
        <v>25</v>
      </c>
      <c r="Z55" s="94" t="str">
        <f t="shared" si="41"/>
        <v/>
      </c>
      <c r="AA55" s="95" t="str">
        <f t="shared" si="42"/>
        <v/>
      </c>
      <c r="AB55" s="84">
        <f t="shared" si="18"/>
        <v>0</v>
      </c>
      <c r="AC55" s="1310" t="str">
        <f t="shared" si="19"/>
        <v/>
      </c>
      <c r="AD55" s="85"/>
      <c r="AE55" s="45">
        <f t="shared" si="20"/>
        <v>25</v>
      </c>
      <c r="AF55" s="74">
        <f t="shared" si="21"/>
        <v>0</v>
      </c>
      <c r="AG55" s="86" t="str">
        <f t="shared" si="43"/>
        <v/>
      </c>
      <c r="AH55" s="40"/>
      <c r="AI55" s="308" t="s">
        <v>89</v>
      </c>
      <c r="AJ55" s="311" t="str">
        <f>B107</f>
        <v>Amtsgericht XXX
Betreuungsgericht
Postfach XXX</v>
      </c>
    </row>
    <row r="56" spans="1:36" ht="25" customHeight="1">
      <c r="A56" s="87">
        <v>51</v>
      </c>
      <c r="B56" s="760"/>
      <c r="C56" s="761"/>
      <c r="D56" s="758"/>
      <c r="E56" s="751"/>
      <c r="F56" s="751"/>
      <c r="G56" s="751"/>
      <c r="H56" s="746" t="s">
        <v>89</v>
      </c>
      <c r="I56" s="88" t="s">
        <v>157</v>
      </c>
      <c r="J56" s="467" t="str">
        <f t="shared" si="17"/>
        <v/>
      </c>
      <c r="K56" s="89">
        <f t="shared" si="29"/>
        <v>306</v>
      </c>
      <c r="L56" s="90">
        <f t="shared" si="30"/>
        <v>102</v>
      </c>
      <c r="M56" s="91">
        <f t="shared" si="31"/>
        <v>26</v>
      </c>
      <c r="N56" s="60">
        <f t="shared" si="32"/>
        <v>101.93333333333334</v>
      </c>
      <c r="O56" s="60">
        <f t="shared" si="33"/>
        <v>305.8</v>
      </c>
      <c r="P56" s="60">
        <f t="shared" si="34"/>
        <v>25.483333333333334</v>
      </c>
      <c r="Q56" s="92">
        <f t="shared" si="35"/>
        <v>24</v>
      </c>
      <c r="R56" s="92">
        <f t="shared" si="36"/>
        <v>5</v>
      </c>
      <c r="S56" s="92">
        <f t="shared" si="37"/>
        <v>25</v>
      </c>
      <c r="T56" s="93">
        <f t="shared" si="38"/>
        <v>0</v>
      </c>
      <c r="U56" s="93">
        <f t="shared" si="39"/>
        <v>0</v>
      </c>
      <c r="V56" s="93">
        <f t="shared" si="40"/>
        <v>0</v>
      </c>
      <c r="W56" s="60">
        <f t="shared" si="26"/>
        <v>24</v>
      </c>
      <c r="X56" s="60">
        <f t="shared" si="27"/>
        <v>5</v>
      </c>
      <c r="Y56" s="60">
        <f t="shared" si="28"/>
        <v>25</v>
      </c>
      <c r="Z56" s="94" t="str">
        <f t="shared" si="41"/>
        <v/>
      </c>
      <c r="AA56" s="95" t="str">
        <f t="shared" si="42"/>
        <v/>
      </c>
      <c r="AB56" s="84">
        <f t="shared" si="18"/>
        <v>0</v>
      </c>
      <c r="AC56" s="1310" t="str">
        <f t="shared" si="19"/>
        <v/>
      </c>
      <c r="AD56" s="85"/>
      <c r="AE56" s="45">
        <f t="shared" si="20"/>
        <v>25</v>
      </c>
      <c r="AF56" s="74">
        <f t="shared" si="21"/>
        <v>0</v>
      </c>
      <c r="AG56" s="86" t="str">
        <f t="shared" si="43"/>
        <v/>
      </c>
      <c r="AH56" s="40"/>
      <c r="AI56" s="308" t="s">
        <v>90</v>
      </c>
      <c r="AJ56" s="311" t="str">
        <f>B108</f>
        <v>Amtsgericht Marsberg
Betreuungsgericht
Postfach 1555
34421 Marsberg</v>
      </c>
    </row>
    <row r="57" spans="1:36" ht="25" customHeight="1">
      <c r="A57" s="87">
        <v>52</v>
      </c>
      <c r="B57" s="750"/>
      <c r="C57" s="751"/>
      <c r="D57" s="752"/>
      <c r="E57" s="751"/>
      <c r="F57" s="751"/>
      <c r="G57" s="751"/>
      <c r="H57" s="746" t="s">
        <v>89</v>
      </c>
      <c r="I57" s="88" t="s">
        <v>157</v>
      </c>
      <c r="J57" s="467" t="str">
        <f t="shared" si="17"/>
        <v/>
      </c>
      <c r="K57" s="89">
        <f t="shared" si="29"/>
        <v>306</v>
      </c>
      <c r="L57" s="90">
        <f t="shared" si="30"/>
        <v>102</v>
      </c>
      <c r="M57" s="91">
        <f t="shared" si="31"/>
        <v>26</v>
      </c>
      <c r="N57" s="60">
        <f t="shared" si="32"/>
        <v>101.93333333333334</v>
      </c>
      <c r="O57" s="60">
        <f t="shared" si="33"/>
        <v>305.8</v>
      </c>
      <c r="P57" s="60">
        <f t="shared" si="34"/>
        <v>25.483333333333334</v>
      </c>
      <c r="Q57" s="92">
        <f t="shared" si="35"/>
        <v>24</v>
      </c>
      <c r="R57" s="92">
        <f t="shared" si="36"/>
        <v>5</v>
      </c>
      <c r="S57" s="92">
        <f t="shared" si="37"/>
        <v>25</v>
      </c>
      <c r="T57" s="93">
        <f t="shared" si="38"/>
        <v>0</v>
      </c>
      <c r="U57" s="93">
        <f t="shared" si="39"/>
        <v>0</v>
      </c>
      <c r="V57" s="93">
        <f t="shared" si="40"/>
        <v>0</v>
      </c>
      <c r="W57" s="60">
        <f t="shared" si="26"/>
        <v>24</v>
      </c>
      <c r="X57" s="60">
        <f t="shared" si="27"/>
        <v>5</v>
      </c>
      <c r="Y57" s="60">
        <f t="shared" si="28"/>
        <v>25</v>
      </c>
      <c r="Z57" s="94" t="str">
        <f t="shared" si="41"/>
        <v/>
      </c>
      <c r="AA57" s="95" t="str">
        <f t="shared" si="42"/>
        <v/>
      </c>
      <c r="AB57" s="84">
        <f t="shared" si="18"/>
        <v>0</v>
      </c>
      <c r="AC57" s="1310" t="str">
        <f t="shared" si="19"/>
        <v/>
      </c>
      <c r="AD57" s="85"/>
      <c r="AE57" s="45">
        <f t="shared" si="20"/>
        <v>25</v>
      </c>
      <c r="AF57" s="74">
        <f t="shared" si="21"/>
        <v>0</v>
      </c>
      <c r="AG57" s="86" t="str">
        <f t="shared" si="43"/>
        <v/>
      </c>
      <c r="AH57" s="40"/>
      <c r="AI57" s="308" t="s">
        <v>91</v>
      </c>
      <c r="AJ57" s="311" t="str">
        <f t="shared" ref="AJ57:AJ73" si="44">B109</f>
        <v>Amtsgericht Brakel
Betreuungsgericht
Nieheimer Str. 17
33934 Brakel</v>
      </c>
    </row>
    <row r="58" spans="1:36" ht="25" customHeight="1">
      <c r="A58" s="87">
        <v>53</v>
      </c>
      <c r="B58" s="750"/>
      <c r="C58" s="751"/>
      <c r="D58" s="752"/>
      <c r="E58" s="751"/>
      <c r="F58" s="751"/>
      <c r="G58" s="751"/>
      <c r="H58" s="746" t="s">
        <v>89</v>
      </c>
      <c r="I58" s="88" t="s">
        <v>157</v>
      </c>
      <c r="J58" s="467" t="str">
        <f t="shared" si="17"/>
        <v/>
      </c>
      <c r="K58" s="89">
        <f t="shared" si="29"/>
        <v>306</v>
      </c>
      <c r="L58" s="90">
        <f t="shared" si="30"/>
        <v>102</v>
      </c>
      <c r="M58" s="91">
        <f t="shared" si="31"/>
        <v>26</v>
      </c>
      <c r="N58" s="60">
        <f t="shared" si="32"/>
        <v>101.93333333333334</v>
      </c>
      <c r="O58" s="60">
        <f t="shared" si="33"/>
        <v>305.8</v>
      </c>
      <c r="P58" s="60">
        <f t="shared" si="34"/>
        <v>25.483333333333334</v>
      </c>
      <c r="Q58" s="92">
        <f t="shared" si="35"/>
        <v>24</v>
      </c>
      <c r="R58" s="92">
        <f t="shared" si="36"/>
        <v>5</v>
      </c>
      <c r="S58" s="92">
        <f t="shared" si="37"/>
        <v>25</v>
      </c>
      <c r="T58" s="93">
        <f t="shared" si="38"/>
        <v>0</v>
      </c>
      <c r="U58" s="93">
        <f t="shared" si="39"/>
        <v>0</v>
      </c>
      <c r="V58" s="93">
        <f t="shared" si="40"/>
        <v>0</v>
      </c>
      <c r="W58" s="60">
        <f t="shared" si="26"/>
        <v>24</v>
      </c>
      <c r="X58" s="60">
        <f t="shared" si="27"/>
        <v>5</v>
      </c>
      <c r="Y58" s="60">
        <f t="shared" si="28"/>
        <v>25</v>
      </c>
      <c r="Z58" s="94" t="str">
        <f t="shared" si="41"/>
        <v/>
      </c>
      <c r="AA58" s="95" t="str">
        <f t="shared" si="42"/>
        <v/>
      </c>
      <c r="AB58" s="84">
        <f t="shared" si="18"/>
        <v>0</v>
      </c>
      <c r="AC58" s="1310" t="str">
        <f t="shared" si="19"/>
        <v/>
      </c>
      <c r="AD58" s="85"/>
      <c r="AE58" s="45">
        <f t="shared" si="20"/>
        <v>25</v>
      </c>
      <c r="AF58" s="74">
        <f t="shared" si="21"/>
        <v>0</v>
      </c>
      <c r="AG58" s="86" t="str">
        <f t="shared" si="43"/>
        <v/>
      </c>
      <c r="AH58" s="40"/>
      <c r="AI58" s="308" t="s">
        <v>92</v>
      </c>
      <c r="AJ58" s="311" t="str">
        <f t="shared" si="44"/>
        <v xml:space="preserve">Amtsgericht Lennestadt 
Betreuungsgericht
Postfach 3040
57347 Lennestadt
</v>
      </c>
    </row>
    <row r="59" spans="1:36" ht="25" customHeight="1">
      <c r="A59" s="87">
        <v>54</v>
      </c>
      <c r="B59" s="750"/>
      <c r="C59" s="751"/>
      <c r="D59" s="752"/>
      <c r="E59" s="751"/>
      <c r="F59" s="751"/>
      <c r="G59" s="751"/>
      <c r="H59" s="746" t="s">
        <v>89</v>
      </c>
      <c r="I59" s="88" t="s">
        <v>157</v>
      </c>
      <c r="J59" s="467" t="str">
        <f t="shared" si="17"/>
        <v/>
      </c>
      <c r="K59" s="89">
        <f t="shared" si="29"/>
        <v>306</v>
      </c>
      <c r="L59" s="90">
        <f t="shared" si="30"/>
        <v>102</v>
      </c>
      <c r="M59" s="91">
        <f t="shared" si="31"/>
        <v>26</v>
      </c>
      <c r="N59" s="60">
        <f t="shared" si="32"/>
        <v>101.93333333333334</v>
      </c>
      <c r="O59" s="60">
        <f t="shared" si="33"/>
        <v>305.8</v>
      </c>
      <c r="P59" s="60">
        <f t="shared" si="34"/>
        <v>25.483333333333334</v>
      </c>
      <c r="Q59" s="92">
        <f t="shared" si="35"/>
        <v>24</v>
      </c>
      <c r="R59" s="92">
        <f t="shared" si="36"/>
        <v>5</v>
      </c>
      <c r="S59" s="92">
        <f t="shared" si="37"/>
        <v>25</v>
      </c>
      <c r="T59" s="93">
        <f t="shared" si="38"/>
        <v>0</v>
      </c>
      <c r="U59" s="93">
        <f t="shared" si="39"/>
        <v>0</v>
      </c>
      <c r="V59" s="93">
        <f t="shared" si="40"/>
        <v>0</v>
      </c>
      <c r="W59" s="60">
        <f t="shared" si="26"/>
        <v>24</v>
      </c>
      <c r="X59" s="60">
        <f t="shared" si="27"/>
        <v>5</v>
      </c>
      <c r="Y59" s="60">
        <f t="shared" si="28"/>
        <v>25</v>
      </c>
      <c r="Z59" s="94" t="str">
        <f t="shared" si="41"/>
        <v/>
      </c>
      <c r="AA59" s="95" t="str">
        <f t="shared" si="42"/>
        <v/>
      </c>
      <c r="AB59" s="84">
        <f t="shared" si="18"/>
        <v>0</v>
      </c>
      <c r="AC59" s="1310" t="str">
        <f t="shared" si="19"/>
        <v/>
      </c>
      <c r="AD59" s="85"/>
      <c r="AE59" s="45">
        <f t="shared" si="20"/>
        <v>25</v>
      </c>
      <c r="AF59" s="74">
        <f t="shared" si="21"/>
        <v>0</v>
      </c>
      <c r="AG59" s="86" t="str">
        <f t="shared" si="43"/>
        <v/>
      </c>
      <c r="AH59" s="40"/>
      <c r="AI59" s="308" t="s">
        <v>93</v>
      </c>
      <c r="AJ59" s="311" t="str">
        <f t="shared" si="44"/>
        <v>Amtsgericht Delbrück
Betreuungsgericht
Postfach 1161
33119 Delbrück</v>
      </c>
    </row>
    <row r="60" spans="1:36" ht="25" customHeight="1">
      <c r="A60" s="87">
        <v>55</v>
      </c>
      <c r="B60" s="750"/>
      <c r="C60" s="751"/>
      <c r="D60" s="753"/>
      <c r="E60" s="751"/>
      <c r="F60" s="751"/>
      <c r="G60" s="751"/>
      <c r="H60" s="746" t="s">
        <v>89</v>
      </c>
      <c r="I60" s="88" t="s">
        <v>157</v>
      </c>
      <c r="J60" s="467" t="str">
        <f t="shared" si="17"/>
        <v/>
      </c>
      <c r="K60" s="89">
        <f t="shared" si="29"/>
        <v>306</v>
      </c>
      <c r="L60" s="90">
        <f t="shared" si="30"/>
        <v>102</v>
      </c>
      <c r="M60" s="91">
        <f t="shared" si="31"/>
        <v>26</v>
      </c>
      <c r="N60" s="60">
        <f t="shared" si="32"/>
        <v>101.93333333333334</v>
      </c>
      <c r="O60" s="60">
        <f t="shared" si="33"/>
        <v>305.8</v>
      </c>
      <c r="P60" s="60">
        <f t="shared" si="34"/>
        <v>25.483333333333334</v>
      </c>
      <c r="Q60" s="92">
        <f t="shared" si="35"/>
        <v>24</v>
      </c>
      <c r="R60" s="92">
        <f t="shared" si="36"/>
        <v>5</v>
      </c>
      <c r="S60" s="92">
        <f t="shared" si="37"/>
        <v>25</v>
      </c>
      <c r="T60" s="93">
        <f t="shared" si="38"/>
        <v>0</v>
      </c>
      <c r="U60" s="93">
        <f t="shared" si="39"/>
        <v>0</v>
      </c>
      <c r="V60" s="93">
        <f t="shared" si="40"/>
        <v>0</v>
      </c>
      <c r="W60" s="60">
        <f t="shared" si="26"/>
        <v>24</v>
      </c>
      <c r="X60" s="60">
        <f t="shared" si="27"/>
        <v>5</v>
      </c>
      <c r="Y60" s="60">
        <f t="shared" si="28"/>
        <v>25</v>
      </c>
      <c r="Z60" s="94" t="str">
        <f t="shared" si="41"/>
        <v/>
      </c>
      <c r="AA60" s="95" t="str">
        <f t="shared" si="42"/>
        <v/>
      </c>
      <c r="AB60" s="84">
        <f t="shared" si="18"/>
        <v>0</v>
      </c>
      <c r="AC60" s="1310" t="str">
        <f t="shared" si="19"/>
        <v/>
      </c>
      <c r="AD60" s="85"/>
      <c r="AE60" s="45">
        <f t="shared" si="20"/>
        <v>25</v>
      </c>
      <c r="AF60" s="74">
        <f t="shared" si="21"/>
        <v>0</v>
      </c>
      <c r="AG60" s="86" t="str">
        <f t="shared" si="43"/>
        <v/>
      </c>
      <c r="AH60" s="40"/>
      <c r="AI60" s="308" t="s">
        <v>94</v>
      </c>
      <c r="AJ60" s="311" t="str">
        <f t="shared" si="44"/>
        <v>Amtsgericht Detmold 
Betreuungsgericht
Postfach 1163 
32701 Detmold</v>
      </c>
    </row>
    <row r="61" spans="1:36" ht="25" customHeight="1">
      <c r="A61" s="87">
        <v>56</v>
      </c>
      <c r="B61" s="750"/>
      <c r="C61" s="751"/>
      <c r="D61" s="752"/>
      <c r="E61" s="751"/>
      <c r="F61" s="751"/>
      <c r="G61" s="751"/>
      <c r="H61" s="746" t="s">
        <v>89</v>
      </c>
      <c r="I61" s="88" t="s">
        <v>157</v>
      </c>
      <c r="J61" s="467" t="str">
        <f t="shared" si="17"/>
        <v/>
      </c>
      <c r="K61" s="89">
        <f t="shared" si="29"/>
        <v>306</v>
      </c>
      <c r="L61" s="90">
        <f t="shared" si="30"/>
        <v>102</v>
      </c>
      <c r="M61" s="91">
        <f t="shared" si="31"/>
        <v>26</v>
      </c>
      <c r="N61" s="60">
        <f t="shared" si="32"/>
        <v>101.93333333333334</v>
      </c>
      <c r="O61" s="60">
        <f t="shared" si="33"/>
        <v>305.8</v>
      </c>
      <c r="P61" s="60">
        <f t="shared" si="34"/>
        <v>25.483333333333334</v>
      </c>
      <c r="Q61" s="92">
        <f t="shared" si="35"/>
        <v>24</v>
      </c>
      <c r="R61" s="92">
        <f t="shared" si="36"/>
        <v>5</v>
      </c>
      <c r="S61" s="92">
        <f t="shared" si="37"/>
        <v>25</v>
      </c>
      <c r="T61" s="93">
        <f t="shared" si="38"/>
        <v>0</v>
      </c>
      <c r="U61" s="93">
        <f t="shared" si="39"/>
        <v>0</v>
      </c>
      <c r="V61" s="93">
        <f t="shared" si="40"/>
        <v>0</v>
      </c>
      <c r="W61" s="60">
        <f t="shared" si="26"/>
        <v>24</v>
      </c>
      <c r="X61" s="60">
        <f t="shared" si="27"/>
        <v>5</v>
      </c>
      <c r="Y61" s="60">
        <f t="shared" si="28"/>
        <v>25</v>
      </c>
      <c r="Z61" s="94" t="str">
        <f t="shared" si="41"/>
        <v/>
      </c>
      <c r="AA61" s="95" t="str">
        <f t="shared" si="42"/>
        <v/>
      </c>
      <c r="AB61" s="84">
        <f t="shared" si="18"/>
        <v>0</v>
      </c>
      <c r="AC61" s="1310" t="str">
        <f t="shared" si="19"/>
        <v/>
      </c>
      <c r="AD61" s="85"/>
      <c r="AE61" s="45">
        <f t="shared" si="20"/>
        <v>25</v>
      </c>
      <c r="AF61" s="74">
        <f t="shared" si="21"/>
        <v>0</v>
      </c>
      <c r="AG61" s="86" t="str">
        <f t="shared" si="43"/>
        <v/>
      </c>
      <c r="AH61" s="40"/>
      <c r="AI61" s="308" t="s">
        <v>95</v>
      </c>
      <c r="AJ61" s="311">
        <f t="shared" si="44"/>
        <v>0</v>
      </c>
    </row>
    <row r="62" spans="1:36" ht="25" customHeight="1">
      <c r="A62" s="87">
        <v>57</v>
      </c>
      <c r="B62" s="754"/>
      <c r="C62" s="755"/>
      <c r="D62" s="756"/>
      <c r="E62" s="751"/>
      <c r="F62" s="755"/>
      <c r="G62" s="755"/>
      <c r="H62" s="746" t="s">
        <v>89</v>
      </c>
      <c r="I62" s="88" t="s">
        <v>157</v>
      </c>
      <c r="J62" s="467" t="str">
        <f t="shared" si="17"/>
        <v/>
      </c>
      <c r="K62" s="89">
        <f t="shared" si="29"/>
        <v>306</v>
      </c>
      <c r="L62" s="90">
        <f t="shared" si="30"/>
        <v>102</v>
      </c>
      <c r="M62" s="91">
        <f t="shared" si="31"/>
        <v>26</v>
      </c>
      <c r="N62" s="60">
        <f t="shared" si="32"/>
        <v>101.93333333333334</v>
      </c>
      <c r="O62" s="60">
        <f t="shared" si="33"/>
        <v>305.8</v>
      </c>
      <c r="P62" s="60">
        <f t="shared" si="34"/>
        <v>25.483333333333334</v>
      </c>
      <c r="Q62" s="92">
        <f t="shared" si="35"/>
        <v>24</v>
      </c>
      <c r="R62" s="92">
        <f t="shared" si="36"/>
        <v>5</v>
      </c>
      <c r="S62" s="92">
        <f t="shared" si="37"/>
        <v>25</v>
      </c>
      <c r="T62" s="93">
        <f t="shared" si="38"/>
        <v>0</v>
      </c>
      <c r="U62" s="93">
        <f t="shared" si="39"/>
        <v>0</v>
      </c>
      <c r="V62" s="93">
        <f t="shared" si="40"/>
        <v>0</v>
      </c>
      <c r="W62" s="60">
        <f t="shared" si="26"/>
        <v>24</v>
      </c>
      <c r="X62" s="60">
        <f t="shared" si="27"/>
        <v>5</v>
      </c>
      <c r="Y62" s="60">
        <f t="shared" si="28"/>
        <v>25</v>
      </c>
      <c r="Z62" s="94" t="str">
        <f t="shared" si="41"/>
        <v/>
      </c>
      <c r="AA62" s="95" t="str">
        <f t="shared" si="42"/>
        <v/>
      </c>
      <c r="AB62" s="84">
        <f t="shared" si="18"/>
        <v>0</v>
      </c>
      <c r="AC62" s="1310" t="str">
        <f t="shared" si="19"/>
        <v/>
      </c>
      <c r="AD62" s="85"/>
      <c r="AE62" s="45">
        <f t="shared" si="20"/>
        <v>25</v>
      </c>
      <c r="AF62" s="74">
        <f t="shared" si="21"/>
        <v>0</v>
      </c>
      <c r="AG62" s="86" t="str">
        <f t="shared" si="43"/>
        <v/>
      </c>
      <c r="AH62" s="40"/>
      <c r="AI62" s="308" t="s">
        <v>96</v>
      </c>
      <c r="AJ62" s="311" t="str">
        <f t="shared" si="44"/>
        <v xml:space="preserve">Amtsgericht Musterstadt
Betreuungsabteilung
Postfach 1234
</v>
      </c>
    </row>
    <row r="63" spans="1:36" ht="25" customHeight="1">
      <c r="A63" s="87">
        <v>58</v>
      </c>
      <c r="B63" s="750"/>
      <c r="C63" s="751"/>
      <c r="D63" s="752"/>
      <c r="E63" s="751"/>
      <c r="F63" s="751"/>
      <c r="G63" s="751"/>
      <c r="H63" s="746" t="s">
        <v>89</v>
      </c>
      <c r="I63" s="88" t="s">
        <v>157</v>
      </c>
      <c r="J63" s="467" t="str">
        <f t="shared" si="17"/>
        <v/>
      </c>
      <c r="K63" s="89">
        <f t="shared" si="29"/>
        <v>306</v>
      </c>
      <c r="L63" s="90">
        <f t="shared" si="30"/>
        <v>102</v>
      </c>
      <c r="M63" s="91">
        <f t="shared" si="31"/>
        <v>26</v>
      </c>
      <c r="N63" s="60">
        <f t="shared" si="32"/>
        <v>101.93333333333334</v>
      </c>
      <c r="O63" s="60">
        <f t="shared" si="33"/>
        <v>305.8</v>
      </c>
      <c r="P63" s="60">
        <f t="shared" si="34"/>
        <v>25.483333333333334</v>
      </c>
      <c r="Q63" s="92">
        <f t="shared" si="35"/>
        <v>24</v>
      </c>
      <c r="R63" s="92">
        <f t="shared" si="36"/>
        <v>5</v>
      </c>
      <c r="S63" s="92">
        <f t="shared" si="37"/>
        <v>25</v>
      </c>
      <c r="T63" s="93">
        <f t="shared" si="38"/>
        <v>0</v>
      </c>
      <c r="U63" s="93">
        <f t="shared" si="39"/>
        <v>0</v>
      </c>
      <c r="V63" s="93">
        <f t="shared" si="40"/>
        <v>0</v>
      </c>
      <c r="W63" s="60">
        <f t="shared" si="26"/>
        <v>24</v>
      </c>
      <c r="X63" s="60">
        <f t="shared" si="27"/>
        <v>5</v>
      </c>
      <c r="Y63" s="60">
        <f t="shared" si="28"/>
        <v>25</v>
      </c>
      <c r="Z63" s="94" t="str">
        <f t="shared" si="41"/>
        <v/>
      </c>
      <c r="AA63" s="95" t="str">
        <f t="shared" si="42"/>
        <v/>
      </c>
      <c r="AB63" s="84">
        <f t="shared" si="18"/>
        <v>0</v>
      </c>
      <c r="AC63" s="1310" t="str">
        <f t="shared" si="19"/>
        <v/>
      </c>
      <c r="AD63" s="85"/>
      <c r="AE63" s="45">
        <f t="shared" si="20"/>
        <v>25</v>
      </c>
      <c r="AF63" s="74">
        <f t="shared" si="21"/>
        <v>0</v>
      </c>
      <c r="AG63" s="86" t="str">
        <f t="shared" si="43"/>
        <v/>
      </c>
      <c r="AH63" s="40"/>
      <c r="AI63" s="308" t="s">
        <v>97</v>
      </c>
      <c r="AJ63" s="311" t="str">
        <f t="shared" si="44"/>
        <v xml:space="preserve">Amtsgericht Musterstadt
Betreuungsabteilung
Postfach 1234
</v>
      </c>
    </row>
    <row r="64" spans="1:36" ht="25" customHeight="1">
      <c r="A64" s="87">
        <v>59</v>
      </c>
      <c r="B64" s="750"/>
      <c r="C64" s="751"/>
      <c r="D64" s="752"/>
      <c r="E64" s="751"/>
      <c r="F64" s="751"/>
      <c r="G64" s="751"/>
      <c r="H64" s="749" t="s">
        <v>89</v>
      </c>
      <c r="I64" s="88" t="s">
        <v>157</v>
      </c>
      <c r="J64" s="467" t="str">
        <f t="shared" si="17"/>
        <v/>
      </c>
      <c r="K64" s="89">
        <f t="shared" si="29"/>
        <v>306</v>
      </c>
      <c r="L64" s="90">
        <f t="shared" si="30"/>
        <v>102</v>
      </c>
      <c r="M64" s="91">
        <f t="shared" si="31"/>
        <v>26</v>
      </c>
      <c r="N64" s="60">
        <f t="shared" si="32"/>
        <v>101.93333333333334</v>
      </c>
      <c r="O64" s="60">
        <f t="shared" si="33"/>
        <v>305.8</v>
      </c>
      <c r="P64" s="60">
        <f t="shared" si="34"/>
        <v>25.483333333333334</v>
      </c>
      <c r="Q64" s="92">
        <f t="shared" si="35"/>
        <v>24</v>
      </c>
      <c r="R64" s="92">
        <f t="shared" si="36"/>
        <v>5</v>
      </c>
      <c r="S64" s="92">
        <f t="shared" si="37"/>
        <v>25</v>
      </c>
      <c r="T64" s="93">
        <f t="shared" si="38"/>
        <v>0</v>
      </c>
      <c r="U64" s="93">
        <f t="shared" si="39"/>
        <v>0</v>
      </c>
      <c r="V64" s="93">
        <f t="shared" si="40"/>
        <v>0</v>
      </c>
      <c r="W64" s="60">
        <f t="shared" si="26"/>
        <v>24</v>
      </c>
      <c r="X64" s="60">
        <f t="shared" si="27"/>
        <v>5</v>
      </c>
      <c r="Y64" s="60">
        <f t="shared" si="28"/>
        <v>25</v>
      </c>
      <c r="Z64" s="94" t="str">
        <f t="shared" si="41"/>
        <v/>
      </c>
      <c r="AA64" s="95" t="str">
        <f t="shared" si="42"/>
        <v/>
      </c>
      <c r="AB64" s="84">
        <f t="shared" si="18"/>
        <v>0</v>
      </c>
      <c r="AC64" s="1310" t="str">
        <f t="shared" si="19"/>
        <v/>
      </c>
      <c r="AD64" s="85"/>
      <c r="AE64" s="45">
        <f t="shared" si="20"/>
        <v>25</v>
      </c>
      <c r="AF64" s="74">
        <f t="shared" si="21"/>
        <v>0</v>
      </c>
      <c r="AG64" s="86" t="str">
        <f t="shared" si="43"/>
        <v/>
      </c>
      <c r="AH64" s="40"/>
      <c r="AI64" s="308" t="s">
        <v>98</v>
      </c>
      <c r="AJ64" s="311">
        <f t="shared" si="44"/>
        <v>0</v>
      </c>
    </row>
    <row r="65" spans="1:36" ht="25" customHeight="1">
      <c r="A65" s="87">
        <v>60</v>
      </c>
      <c r="B65" s="750"/>
      <c r="C65" s="751"/>
      <c r="D65" s="757"/>
      <c r="E65" s="751"/>
      <c r="F65" s="751"/>
      <c r="G65" s="751"/>
      <c r="H65" s="746" t="s">
        <v>89</v>
      </c>
      <c r="I65" s="88" t="s">
        <v>157</v>
      </c>
      <c r="J65" s="467" t="str">
        <f t="shared" si="17"/>
        <v/>
      </c>
      <c r="K65" s="89">
        <f t="shared" si="29"/>
        <v>306</v>
      </c>
      <c r="L65" s="90">
        <f t="shared" si="30"/>
        <v>102</v>
      </c>
      <c r="M65" s="91">
        <f t="shared" si="31"/>
        <v>26</v>
      </c>
      <c r="N65" s="60">
        <f t="shared" si="32"/>
        <v>101.93333333333334</v>
      </c>
      <c r="O65" s="60">
        <f t="shared" si="33"/>
        <v>305.8</v>
      </c>
      <c r="P65" s="60">
        <f t="shared" si="34"/>
        <v>25.483333333333334</v>
      </c>
      <c r="Q65" s="92">
        <f t="shared" si="35"/>
        <v>24</v>
      </c>
      <c r="R65" s="92">
        <f t="shared" si="36"/>
        <v>5</v>
      </c>
      <c r="S65" s="92">
        <f t="shared" si="37"/>
        <v>25</v>
      </c>
      <c r="T65" s="93">
        <f t="shared" si="38"/>
        <v>0</v>
      </c>
      <c r="U65" s="93">
        <f t="shared" si="39"/>
        <v>0</v>
      </c>
      <c r="V65" s="93">
        <f t="shared" si="40"/>
        <v>0</v>
      </c>
      <c r="W65" s="60">
        <f t="shared" si="26"/>
        <v>24</v>
      </c>
      <c r="X65" s="60">
        <f t="shared" si="27"/>
        <v>5</v>
      </c>
      <c r="Y65" s="60">
        <f t="shared" si="28"/>
        <v>25</v>
      </c>
      <c r="Z65" s="94" t="str">
        <f t="shared" si="41"/>
        <v/>
      </c>
      <c r="AA65" s="95" t="str">
        <f t="shared" si="42"/>
        <v/>
      </c>
      <c r="AB65" s="84">
        <f t="shared" si="18"/>
        <v>0</v>
      </c>
      <c r="AC65" s="1310" t="str">
        <f t="shared" si="19"/>
        <v/>
      </c>
      <c r="AD65" s="85"/>
      <c r="AE65" s="45">
        <f t="shared" si="20"/>
        <v>25</v>
      </c>
      <c r="AF65" s="74">
        <f t="shared" si="21"/>
        <v>0</v>
      </c>
      <c r="AG65" s="86" t="str">
        <f t="shared" si="43"/>
        <v/>
      </c>
      <c r="AH65" s="40"/>
      <c r="AI65" s="308" t="s">
        <v>99</v>
      </c>
      <c r="AJ65" s="311">
        <f t="shared" si="44"/>
        <v>0</v>
      </c>
    </row>
    <row r="66" spans="1:36" ht="25" customHeight="1">
      <c r="A66" s="87">
        <v>61</v>
      </c>
      <c r="B66" s="750"/>
      <c r="C66" s="751"/>
      <c r="D66" s="758"/>
      <c r="E66" s="751"/>
      <c r="F66" s="751"/>
      <c r="G66" s="751"/>
      <c r="H66" s="746" t="s">
        <v>89</v>
      </c>
      <c r="I66" s="88" t="s">
        <v>157</v>
      </c>
      <c r="J66" s="467" t="str">
        <f t="shared" si="17"/>
        <v/>
      </c>
      <c r="K66" s="89">
        <f t="shared" si="29"/>
        <v>306</v>
      </c>
      <c r="L66" s="90">
        <f t="shared" si="30"/>
        <v>102</v>
      </c>
      <c r="M66" s="91">
        <f t="shared" si="31"/>
        <v>26</v>
      </c>
      <c r="N66" s="60">
        <f t="shared" si="32"/>
        <v>101.93333333333334</v>
      </c>
      <c r="O66" s="60">
        <f t="shared" si="33"/>
        <v>305.8</v>
      </c>
      <c r="P66" s="60">
        <f t="shared" si="34"/>
        <v>25.483333333333334</v>
      </c>
      <c r="Q66" s="92">
        <f t="shared" si="35"/>
        <v>24</v>
      </c>
      <c r="R66" s="92">
        <f t="shared" si="36"/>
        <v>5</v>
      </c>
      <c r="S66" s="92">
        <f t="shared" si="37"/>
        <v>25</v>
      </c>
      <c r="T66" s="93">
        <f t="shared" si="38"/>
        <v>0</v>
      </c>
      <c r="U66" s="93">
        <f t="shared" si="39"/>
        <v>0</v>
      </c>
      <c r="V66" s="93">
        <f t="shared" si="40"/>
        <v>0</v>
      </c>
      <c r="W66" s="60">
        <f t="shared" si="26"/>
        <v>24</v>
      </c>
      <c r="X66" s="60">
        <f t="shared" si="27"/>
        <v>5</v>
      </c>
      <c r="Y66" s="60">
        <f t="shared" si="28"/>
        <v>25</v>
      </c>
      <c r="Z66" s="94" t="str">
        <f t="shared" si="41"/>
        <v/>
      </c>
      <c r="AA66" s="95" t="str">
        <f t="shared" si="42"/>
        <v/>
      </c>
      <c r="AB66" s="84">
        <f t="shared" si="18"/>
        <v>0</v>
      </c>
      <c r="AC66" s="1310" t="str">
        <f t="shared" si="19"/>
        <v/>
      </c>
      <c r="AD66" s="85"/>
      <c r="AE66" s="45">
        <f t="shared" si="20"/>
        <v>25</v>
      </c>
      <c r="AF66" s="74">
        <f t="shared" si="21"/>
        <v>0</v>
      </c>
      <c r="AG66" s="86" t="str">
        <f t="shared" si="43"/>
        <v/>
      </c>
      <c r="AH66" s="40"/>
      <c r="AI66" s="308" t="s">
        <v>100</v>
      </c>
      <c r="AJ66" s="311">
        <f t="shared" si="44"/>
        <v>0</v>
      </c>
    </row>
    <row r="67" spans="1:36" ht="25" customHeight="1">
      <c r="A67" s="87">
        <v>62</v>
      </c>
      <c r="B67" s="750"/>
      <c r="C67" s="751"/>
      <c r="D67" s="752"/>
      <c r="E67" s="751"/>
      <c r="F67" s="751"/>
      <c r="G67" s="751"/>
      <c r="H67" s="746" t="s">
        <v>89</v>
      </c>
      <c r="I67" s="88" t="s">
        <v>157</v>
      </c>
      <c r="J67" s="467" t="str">
        <f t="shared" si="17"/>
        <v/>
      </c>
      <c r="K67" s="89">
        <f t="shared" si="29"/>
        <v>306</v>
      </c>
      <c r="L67" s="90">
        <f t="shared" si="30"/>
        <v>102</v>
      </c>
      <c r="M67" s="91">
        <f t="shared" si="31"/>
        <v>26</v>
      </c>
      <c r="N67" s="60">
        <f t="shared" si="32"/>
        <v>101.93333333333334</v>
      </c>
      <c r="O67" s="60">
        <f t="shared" si="33"/>
        <v>305.8</v>
      </c>
      <c r="P67" s="60">
        <f t="shared" si="34"/>
        <v>25.483333333333334</v>
      </c>
      <c r="Q67" s="92">
        <f t="shared" si="35"/>
        <v>24</v>
      </c>
      <c r="R67" s="92">
        <f t="shared" si="36"/>
        <v>5</v>
      </c>
      <c r="S67" s="92">
        <f t="shared" si="37"/>
        <v>25</v>
      </c>
      <c r="T67" s="93">
        <f t="shared" si="38"/>
        <v>0</v>
      </c>
      <c r="U67" s="93">
        <f t="shared" si="39"/>
        <v>0</v>
      </c>
      <c r="V67" s="93">
        <f t="shared" si="40"/>
        <v>0</v>
      </c>
      <c r="W67" s="60">
        <f t="shared" si="26"/>
        <v>24</v>
      </c>
      <c r="X67" s="60">
        <f t="shared" si="27"/>
        <v>5</v>
      </c>
      <c r="Y67" s="60">
        <f t="shared" si="28"/>
        <v>25</v>
      </c>
      <c r="Z67" s="94" t="str">
        <f t="shared" si="41"/>
        <v/>
      </c>
      <c r="AA67" s="95" t="str">
        <f t="shared" si="42"/>
        <v/>
      </c>
      <c r="AB67" s="84">
        <f t="shared" si="18"/>
        <v>0</v>
      </c>
      <c r="AC67" s="1310" t="str">
        <f t="shared" si="19"/>
        <v/>
      </c>
      <c r="AD67" s="85"/>
      <c r="AE67" s="45">
        <f t="shared" si="20"/>
        <v>25</v>
      </c>
      <c r="AF67" s="74">
        <f t="shared" si="21"/>
        <v>0</v>
      </c>
      <c r="AG67" s="86" t="str">
        <f t="shared" si="43"/>
        <v/>
      </c>
      <c r="AH67" s="40"/>
      <c r="AI67" s="308" t="s">
        <v>101</v>
      </c>
      <c r="AJ67" s="311">
        <f t="shared" si="44"/>
        <v>0</v>
      </c>
    </row>
    <row r="68" spans="1:36" ht="25" customHeight="1">
      <c r="A68" s="87">
        <v>63</v>
      </c>
      <c r="B68" s="750"/>
      <c r="C68" s="751"/>
      <c r="D68" s="752"/>
      <c r="E68" s="751"/>
      <c r="F68" s="751"/>
      <c r="G68" s="751"/>
      <c r="H68" s="746" t="s">
        <v>89</v>
      </c>
      <c r="I68" s="88" t="s">
        <v>157</v>
      </c>
      <c r="J68" s="467" t="str">
        <f t="shared" si="17"/>
        <v/>
      </c>
      <c r="K68" s="89">
        <f t="shared" si="29"/>
        <v>306</v>
      </c>
      <c r="L68" s="90">
        <f t="shared" si="30"/>
        <v>102</v>
      </c>
      <c r="M68" s="91">
        <f t="shared" si="31"/>
        <v>26</v>
      </c>
      <c r="N68" s="60">
        <f t="shared" si="32"/>
        <v>101.93333333333334</v>
      </c>
      <c r="O68" s="60">
        <f t="shared" si="33"/>
        <v>305.8</v>
      </c>
      <c r="P68" s="60">
        <f t="shared" si="34"/>
        <v>25.483333333333334</v>
      </c>
      <c r="Q68" s="92">
        <f t="shared" si="35"/>
        <v>24</v>
      </c>
      <c r="R68" s="92">
        <f t="shared" si="36"/>
        <v>5</v>
      </c>
      <c r="S68" s="92">
        <f t="shared" si="37"/>
        <v>25</v>
      </c>
      <c r="T68" s="93">
        <f t="shared" si="38"/>
        <v>0</v>
      </c>
      <c r="U68" s="93">
        <f t="shared" si="39"/>
        <v>0</v>
      </c>
      <c r="V68" s="93">
        <f t="shared" si="40"/>
        <v>0</v>
      </c>
      <c r="W68" s="60">
        <f t="shared" ref="W68:W104" si="45">E$4</f>
        <v>24</v>
      </c>
      <c r="X68" s="60">
        <f t="shared" ref="X68:X104" si="46">F$4</f>
        <v>5</v>
      </c>
      <c r="Y68" s="60">
        <f t="shared" ref="Y68:Y104" si="47">G$4</f>
        <v>25</v>
      </c>
      <c r="Z68" s="94" t="str">
        <f t="shared" si="41"/>
        <v/>
      </c>
      <c r="AA68" s="95" t="str">
        <f t="shared" si="42"/>
        <v/>
      </c>
      <c r="AB68" s="84">
        <f t="shared" si="18"/>
        <v>0</v>
      </c>
      <c r="AC68" s="1310" t="str">
        <f t="shared" si="19"/>
        <v/>
      </c>
      <c r="AD68" s="85"/>
      <c r="AE68" s="45">
        <f t="shared" si="20"/>
        <v>25</v>
      </c>
      <c r="AF68" s="74">
        <f t="shared" si="21"/>
        <v>0</v>
      </c>
      <c r="AG68" s="86" t="str">
        <f t="shared" si="43"/>
        <v/>
      </c>
      <c r="AH68" s="40"/>
      <c r="AI68" s="308" t="s">
        <v>102</v>
      </c>
      <c r="AJ68" s="311">
        <f t="shared" si="44"/>
        <v>0</v>
      </c>
    </row>
    <row r="69" spans="1:36" ht="25" customHeight="1">
      <c r="A69" s="87">
        <v>64</v>
      </c>
      <c r="B69" s="750"/>
      <c r="C69" s="751"/>
      <c r="D69" s="752"/>
      <c r="E69" s="751"/>
      <c r="F69" s="751"/>
      <c r="G69" s="751"/>
      <c r="H69" s="746" t="s">
        <v>89</v>
      </c>
      <c r="I69" s="88" t="s">
        <v>157</v>
      </c>
      <c r="J69" s="467" t="str">
        <f t="shared" si="17"/>
        <v/>
      </c>
      <c r="K69" s="89">
        <f t="shared" si="29"/>
        <v>306</v>
      </c>
      <c r="L69" s="90">
        <f t="shared" si="30"/>
        <v>102</v>
      </c>
      <c r="M69" s="91">
        <f t="shared" si="31"/>
        <v>26</v>
      </c>
      <c r="N69" s="60">
        <f t="shared" si="32"/>
        <v>101.93333333333334</v>
      </c>
      <c r="O69" s="60">
        <f t="shared" si="33"/>
        <v>305.8</v>
      </c>
      <c r="P69" s="60">
        <f t="shared" si="34"/>
        <v>25.483333333333334</v>
      </c>
      <c r="Q69" s="92">
        <f t="shared" si="35"/>
        <v>24</v>
      </c>
      <c r="R69" s="92">
        <f t="shared" si="36"/>
        <v>5</v>
      </c>
      <c r="S69" s="92">
        <f t="shared" si="37"/>
        <v>25</v>
      </c>
      <c r="T69" s="93">
        <f t="shared" si="38"/>
        <v>0</v>
      </c>
      <c r="U69" s="93">
        <f t="shared" si="39"/>
        <v>0</v>
      </c>
      <c r="V69" s="93">
        <f t="shared" si="40"/>
        <v>0</v>
      </c>
      <c r="W69" s="60">
        <f t="shared" si="45"/>
        <v>24</v>
      </c>
      <c r="X69" s="60">
        <f t="shared" si="46"/>
        <v>5</v>
      </c>
      <c r="Y69" s="60">
        <f t="shared" si="47"/>
        <v>25</v>
      </c>
      <c r="Z69" s="94" t="str">
        <f t="shared" si="41"/>
        <v/>
      </c>
      <c r="AA69" s="95" t="str">
        <f t="shared" si="42"/>
        <v/>
      </c>
      <c r="AB69" s="84">
        <f t="shared" si="18"/>
        <v>0</v>
      </c>
      <c r="AC69" s="1310" t="str">
        <f t="shared" si="19"/>
        <v/>
      </c>
      <c r="AD69" s="85"/>
      <c r="AE69" s="45">
        <f t="shared" si="20"/>
        <v>25</v>
      </c>
      <c r="AF69" s="74">
        <f t="shared" si="21"/>
        <v>0</v>
      </c>
      <c r="AG69" s="86" t="str">
        <f t="shared" si="43"/>
        <v/>
      </c>
      <c r="AH69" s="40"/>
      <c r="AI69" s="308" t="s">
        <v>103</v>
      </c>
      <c r="AJ69" s="311">
        <f t="shared" si="44"/>
        <v>0</v>
      </c>
    </row>
    <row r="70" spans="1:36" ht="25" customHeight="1">
      <c r="A70" s="87">
        <v>65</v>
      </c>
      <c r="B70" s="750"/>
      <c r="C70" s="751"/>
      <c r="D70" s="752"/>
      <c r="E70" s="751"/>
      <c r="F70" s="751"/>
      <c r="G70" s="751"/>
      <c r="H70" s="746" t="s">
        <v>89</v>
      </c>
      <c r="I70" s="88" t="s">
        <v>157</v>
      </c>
      <c r="J70" s="467" t="str">
        <f t="shared" si="17"/>
        <v/>
      </c>
      <c r="K70" s="89">
        <f t="shared" ref="K70:K104" si="48">ROUNDUP(O70,0)</f>
        <v>306</v>
      </c>
      <c r="L70" s="90">
        <f t="shared" ref="L70:L104" si="49">ROUNDUP(N70,0)</f>
        <v>102</v>
      </c>
      <c r="M70" s="91">
        <f t="shared" ref="M70:M104" si="50">ROUNDUP(P70,0)</f>
        <v>26</v>
      </c>
      <c r="N70" s="60">
        <f t="shared" ref="N70:N101" si="51">O70/3</f>
        <v>101.93333333333334</v>
      </c>
      <c r="O70" s="60">
        <f t="shared" ref="O70:O104" si="52">S70*12+R70+(Q70/30)</f>
        <v>305.8</v>
      </c>
      <c r="P70" s="60">
        <f t="shared" ref="P70:P101" si="53">O70/12</f>
        <v>25.483333333333334</v>
      </c>
      <c r="Q70" s="92">
        <f t="shared" ref="Q70:Q104" si="54">W70-T70</f>
        <v>24</v>
      </c>
      <c r="R70" s="92">
        <f t="shared" ref="R70:R104" si="55">X70-U70</f>
        <v>5</v>
      </c>
      <c r="S70" s="92">
        <f t="shared" ref="S70:S104" si="56">Y70-V70</f>
        <v>25</v>
      </c>
      <c r="T70" s="93">
        <f t="shared" ref="T70:T104" si="57">E70</f>
        <v>0</v>
      </c>
      <c r="U70" s="93">
        <f t="shared" ref="U70:U104" si="58">F70</f>
        <v>0</v>
      </c>
      <c r="V70" s="93">
        <f t="shared" ref="V70:V104" si="59">G70</f>
        <v>0</v>
      </c>
      <c r="W70" s="60">
        <f t="shared" si="45"/>
        <v>24</v>
      </c>
      <c r="X70" s="60">
        <f t="shared" si="46"/>
        <v>5</v>
      </c>
      <c r="Y70" s="60">
        <f t="shared" si="47"/>
        <v>25</v>
      </c>
      <c r="Z70" s="94" t="str">
        <f t="shared" ref="Z70:Z72" si="60">IF(Z$2="Stufe A",IF(AND(I70="Auswahl treffen",L70&gt;=0,L70&lt;=1000),J70,IF(AND(I70="Vermögend und ambulant",L70&gt;8,L70&lt;=1000),130,IF(AND(I70="Vermögend und ambulant",L70&gt;4,L70&lt;=8),158,IF(AND(I70="Vermögend und ambulant",L70&gt;2,L70&lt;=4),192,IF(AND(I70="Vermögend und ambulant",L70&gt;1,L70&lt;=2),208,IF(AND(I70="Vermögend und ambulant",L70&gt;0,L70&lt;=1),298,IF(AND(I70="Vermögend und stationär",L70&gt;8,L70&lt;=1000),78,IF(AND(I70="Vermögend und stationär",L70&gt;4,L70&lt;=8),91,IF(AND(I70="Vermögend und stationär",L70&gt;2,L70&lt;=4),140,IF(AND(I70="Vermögend und stationär",L70&gt;1,L70&lt;=2),158,IF(AND(I70="Vermögend und stationär",L70&gt;0,L70&lt;=1),200,IF(AND(I70="Mittellos und ambulant",L70&gt;8,L70&lt;=1000),105,IF(AND(I70="Mittellos und ambulant",L70&gt;4,L70&lt;=8),122,IF(AND(I70="Mittellos und ambulant",L70&gt;2,L70&lt;=4),151,IF(AND(I70="Mittellos und ambulant",L70&gt;1,L70&lt;=2),170,IF(AND(I70="Mittellos und ambulant",L70&gt;0,L70&lt;=1),208,IF(AND(I70="Mittellos und stationär",L70&gt;8,L70&lt;=1000),62,IF(AND(I70="Mittellos und stationär",L70&gt;4,L70&lt;=8),87,IF(AND(I70="Mittellos und stationär",L70&gt;2,L70&lt;=4),124,IF(AND(I70="Mittellos und stationär",L70&gt;1,L70&lt;=2),129,IF(AND(I70="Mittellos und stationär",L70&gt;0,L70&lt;=1),194,""))))))))))))))))))))),IF(Z$2="Stufe B",IF(AND(I70="Auswahl treffen",L70&gt;=0,L70&lt;=1000),J70,IF(AND(I70="Vermögend und ambulant",L70&gt;8,L70&lt;=1000),161,IF(AND(I70="Vermögend und ambulant",L70&gt;4,L70&lt;=8),196,IF(AND(I70="Vermögend und ambulant",L70&gt;2,L70&lt;=4),238,IF(AND(I70="Vermögend und ambulant",L70&gt;1,L70&lt;=2),258,IF(AND(I70="Vermögend und ambulant",L70&gt;0,L70&lt;=1),370,IF(AND(I70="Vermögend und stationär",L70&gt;8,L70&lt;=1000),96,IF(AND(I70="Vermögend und stationär",L70&gt;4,L70&lt;=8),113,IF(AND(I70="Vermögend und stationär",L70&gt;2,L70&lt;=4),174,IF(AND(I70="Vermögend und stationär",L70&gt;1,L70&lt;=2),196,IF(AND(I70="Vermögend und stationär",L70&gt;0,L70&lt;=1),249,IF(AND(I70="Mittellos und ambulant",L70&gt;8,L70&lt;=1000),130,IF(AND(I70="Mittellos und ambulant",L70&gt;4,L70&lt;=8),151,IF(AND(I70="Mittellos und ambulant",L70&gt;2,L70&lt;=4),188,IF(AND(I70="Mittellos und ambulant",L70&gt;1,L70&lt;=2),211,IF(AND(I70="Mittellos und ambulant",L70&gt;0,L70&lt;=1),258,IF(AND(I70="Mittellos und stationär",L70&gt;8,L70&lt;=1000),78,IF(AND(I70="Mittellos und stationär",L70&gt;4,L70&lt;=8),107,IF(AND(I70="Mittellos und stationär",L70&gt;2,L70&lt;=4),154,IF(AND(I70="Mittellos und stationär",L70&gt;1,L70&lt;=2),158,IF(AND(I70="Mittellos und stationär",L70&gt;0,L70&lt;=1),241,""))))))))))))))))))))),IF(Z$2="Stufe C",IF(AND(I70="Auswahl treffen",L70&gt;=0,L70&lt;=1000),J70,IF(AND(I70="Vermögend und ambulant",L70&gt;8,L70&lt;=1000),211,IF(AND(I70="Vermögend und ambulant",L70&gt;4,L70&lt;=8),257,IF(AND(I70="Vermögend und ambulant",L70&gt;2,L70&lt;=4),312,IF(AND(I70="Vermögend und ambulant",L70&gt;1,L70&lt;=2),339,IF(AND(I70="Vermögend und ambulant",L70&gt;0,L70&lt;=1),486,IF(AND(I70="Vermögend und stationär",L70&gt;8,L70&lt;=1000),127,IF(AND(I70="Vermögend und stationär",L70&gt;4,L70&lt;=8),149,IF(AND(I70="Vermögend und stationär",L70&gt;2,L70&lt;=4),229,IF(AND(I70="Vermögend und stationär",L70&gt;1,L70&lt;=2),257,IF(AND(I70="Vermögend und stationär",L70&gt;0,L70&lt;=1),327,IF(AND(I70="Mittellos und ambulant",L70&gt;8,L70&lt;=1000),171,IF(AND(I70="Mittellos und ambulant",L70&gt;4,L70&lt;=8),198,IF(AND(I70="Mittellos und ambulant",L70&gt;2,L70&lt;=4),246,IF(AND(I70="Mittellos und ambulant",L70&gt;1,L70&lt;=2),277,IF(AND(I70="Mittellos und ambulant",L70&gt;0,L70&lt;=1),339,IF(AND(I70="Mittellos und stationär",L70&gt;8,L70&lt;=1000),102,IF(AND(I70="Mittellos und stationär",L70&gt;4,L70&lt;=8),141,IF(AND(I70="Mittellos und stationär",L70&gt;2,L70&lt;=4),202,IF(AND(I70="Mittellos und stationär",L70&gt;1,L70&lt;=2),208,IF(AND(I70="Mittellos und stationär",L70&gt;0,L70&lt;=1),317,""))))))))))))))))))))),"")))</f>
        <v/>
      </c>
      <c r="AA70" s="95" t="str">
        <f t="shared" ref="AA70:AA104" si="61">IF(G70&gt;0.1,"EUR","")</f>
        <v/>
      </c>
      <c r="AB70" s="84">
        <f t="shared" si="18"/>
        <v>0</v>
      </c>
      <c r="AC70" s="1310" t="str">
        <f t="shared" si="19"/>
        <v/>
      </c>
      <c r="AD70" s="85"/>
      <c r="AE70" s="45">
        <f t="shared" si="20"/>
        <v>25</v>
      </c>
      <c r="AF70" s="74">
        <f t="shared" si="21"/>
        <v>0</v>
      </c>
      <c r="AG70" s="86" t="str">
        <f t="shared" ref="AG70:AG104" si="62">IF(AND(OR(AE70=24, AE70=25), G70&gt;=1, G70&lt;=100), 7.5, "")</f>
        <v/>
      </c>
      <c r="AH70" s="40"/>
      <c r="AI70" s="308" t="s">
        <v>107</v>
      </c>
      <c r="AJ70" s="311">
        <f t="shared" si="44"/>
        <v>0</v>
      </c>
    </row>
    <row r="71" spans="1:36" ht="25" customHeight="1">
      <c r="A71" s="87">
        <v>66</v>
      </c>
      <c r="B71" s="750"/>
      <c r="C71" s="751"/>
      <c r="D71" s="752"/>
      <c r="E71" s="751"/>
      <c r="F71" s="751"/>
      <c r="G71" s="751"/>
      <c r="H71" s="746" t="s">
        <v>89</v>
      </c>
      <c r="I71" s="88" t="s">
        <v>157</v>
      </c>
      <c r="J71" s="467" t="str">
        <f t="shared" ref="J71:J104" si="63">IF(AB71&gt;=0.1,"+§10","")</f>
        <v/>
      </c>
      <c r="K71" s="89">
        <f t="shared" si="48"/>
        <v>306</v>
      </c>
      <c r="L71" s="90">
        <f t="shared" si="49"/>
        <v>102</v>
      </c>
      <c r="M71" s="91">
        <f t="shared" si="50"/>
        <v>26</v>
      </c>
      <c r="N71" s="60">
        <f t="shared" si="51"/>
        <v>101.93333333333334</v>
      </c>
      <c r="O71" s="60">
        <f t="shared" si="52"/>
        <v>305.8</v>
      </c>
      <c r="P71" s="60">
        <f t="shared" si="53"/>
        <v>25.483333333333334</v>
      </c>
      <c r="Q71" s="92">
        <f t="shared" si="54"/>
        <v>24</v>
      </c>
      <c r="R71" s="92">
        <f t="shared" si="55"/>
        <v>5</v>
      </c>
      <c r="S71" s="92">
        <f t="shared" si="56"/>
        <v>25</v>
      </c>
      <c r="T71" s="93">
        <f t="shared" si="57"/>
        <v>0</v>
      </c>
      <c r="U71" s="93">
        <f t="shared" si="58"/>
        <v>0</v>
      </c>
      <c r="V71" s="93">
        <f t="shared" si="59"/>
        <v>0</v>
      </c>
      <c r="W71" s="60">
        <f t="shared" si="45"/>
        <v>24</v>
      </c>
      <c r="X71" s="60">
        <f t="shared" si="46"/>
        <v>5</v>
      </c>
      <c r="Y71" s="60">
        <f t="shared" si="47"/>
        <v>25</v>
      </c>
      <c r="Z71" s="94" t="str">
        <f t="shared" si="60"/>
        <v/>
      </c>
      <c r="AA71" s="95" t="str">
        <f t="shared" si="61"/>
        <v/>
      </c>
      <c r="AB71" s="84">
        <f t="shared" ref="AB71:AB104" si="64">AF71*30</f>
        <v>0</v>
      </c>
      <c r="AC71" s="1310" t="str">
        <f t="shared" ref="AC71:AC104" si="65">IF(AB71&gt;=0.1,"§10","")</f>
        <v/>
      </c>
      <c r="AD71" s="85"/>
      <c r="AE71" s="45">
        <f t="shared" ref="AE71:AE104" si="66">AE70</f>
        <v>25</v>
      </c>
      <c r="AF71" s="74">
        <f t="shared" ref="AF71:AF104" si="67">IF(AD71,"1",0)</f>
        <v>0</v>
      </c>
      <c r="AG71" s="86" t="str">
        <f t="shared" si="62"/>
        <v/>
      </c>
      <c r="AH71" s="40"/>
      <c r="AI71" s="308" t="s">
        <v>108</v>
      </c>
      <c r="AJ71" s="311">
        <f t="shared" si="44"/>
        <v>0</v>
      </c>
    </row>
    <row r="72" spans="1:36" ht="25" customHeight="1">
      <c r="A72" s="87">
        <v>67</v>
      </c>
      <c r="B72" s="750"/>
      <c r="C72" s="751"/>
      <c r="D72" s="752"/>
      <c r="E72" s="751"/>
      <c r="F72" s="751"/>
      <c r="G72" s="751"/>
      <c r="H72" s="746" t="s">
        <v>89</v>
      </c>
      <c r="I72" s="88" t="s">
        <v>157</v>
      </c>
      <c r="J72" s="467" t="str">
        <f t="shared" si="63"/>
        <v/>
      </c>
      <c r="K72" s="89">
        <f t="shared" si="48"/>
        <v>306</v>
      </c>
      <c r="L72" s="90">
        <f t="shared" si="49"/>
        <v>102</v>
      </c>
      <c r="M72" s="91">
        <f t="shared" si="50"/>
        <v>26</v>
      </c>
      <c r="N72" s="60">
        <f t="shared" si="51"/>
        <v>101.93333333333334</v>
      </c>
      <c r="O72" s="60">
        <f t="shared" si="52"/>
        <v>305.8</v>
      </c>
      <c r="P72" s="60">
        <f t="shared" si="53"/>
        <v>25.483333333333334</v>
      </c>
      <c r="Q72" s="92">
        <f t="shared" si="54"/>
        <v>24</v>
      </c>
      <c r="R72" s="92">
        <f t="shared" si="55"/>
        <v>5</v>
      </c>
      <c r="S72" s="92">
        <f t="shared" si="56"/>
        <v>25</v>
      </c>
      <c r="T72" s="93">
        <f t="shared" si="57"/>
        <v>0</v>
      </c>
      <c r="U72" s="93">
        <f t="shared" si="58"/>
        <v>0</v>
      </c>
      <c r="V72" s="93">
        <f t="shared" si="59"/>
        <v>0</v>
      </c>
      <c r="W72" s="60">
        <f t="shared" si="45"/>
        <v>24</v>
      </c>
      <c r="X72" s="60">
        <f t="shared" si="46"/>
        <v>5</v>
      </c>
      <c r="Y72" s="60">
        <f t="shared" si="47"/>
        <v>25</v>
      </c>
      <c r="Z72" s="94" t="str">
        <f t="shared" si="60"/>
        <v/>
      </c>
      <c r="AA72" s="95" t="str">
        <f t="shared" si="61"/>
        <v/>
      </c>
      <c r="AB72" s="84">
        <f t="shared" si="64"/>
        <v>0</v>
      </c>
      <c r="AC72" s="1310" t="str">
        <f t="shared" si="65"/>
        <v/>
      </c>
      <c r="AD72" s="85"/>
      <c r="AE72" s="45">
        <f t="shared" si="66"/>
        <v>25</v>
      </c>
      <c r="AF72" s="74">
        <f t="shared" si="67"/>
        <v>0</v>
      </c>
      <c r="AG72" s="86" t="str">
        <f t="shared" si="62"/>
        <v/>
      </c>
      <c r="AH72" s="40"/>
      <c r="AI72" s="308" t="s">
        <v>109</v>
      </c>
      <c r="AJ72" s="311">
        <f t="shared" si="44"/>
        <v>0</v>
      </c>
    </row>
    <row r="73" spans="1:36" ht="25" customHeight="1">
      <c r="A73" s="87">
        <v>68</v>
      </c>
      <c r="B73" s="750"/>
      <c r="C73" s="751"/>
      <c r="D73" s="752"/>
      <c r="E73" s="751"/>
      <c r="F73" s="751"/>
      <c r="G73" s="751"/>
      <c r="H73" s="746" t="s">
        <v>89</v>
      </c>
      <c r="I73" s="88" t="s">
        <v>157</v>
      </c>
      <c r="J73" s="467" t="str">
        <f t="shared" si="63"/>
        <v/>
      </c>
      <c r="K73" s="89">
        <f t="shared" si="48"/>
        <v>306</v>
      </c>
      <c r="L73" s="90">
        <f t="shared" si="49"/>
        <v>102</v>
      </c>
      <c r="M73" s="91">
        <f t="shared" si="50"/>
        <v>26</v>
      </c>
      <c r="N73" s="60">
        <f t="shared" si="51"/>
        <v>101.93333333333334</v>
      </c>
      <c r="O73" s="60">
        <f t="shared" si="52"/>
        <v>305.8</v>
      </c>
      <c r="P73" s="60">
        <f t="shared" si="53"/>
        <v>25.483333333333334</v>
      </c>
      <c r="Q73" s="92">
        <f t="shared" si="54"/>
        <v>24</v>
      </c>
      <c r="R73" s="92">
        <f t="shared" si="55"/>
        <v>5</v>
      </c>
      <c r="S73" s="92">
        <f t="shared" si="56"/>
        <v>25</v>
      </c>
      <c r="T73" s="93">
        <f t="shared" si="57"/>
        <v>0</v>
      </c>
      <c r="U73" s="93">
        <f t="shared" si="58"/>
        <v>0</v>
      </c>
      <c r="V73" s="93">
        <f t="shared" si="59"/>
        <v>0</v>
      </c>
      <c r="W73" s="60">
        <f t="shared" si="45"/>
        <v>24</v>
      </c>
      <c r="X73" s="60">
        <f t="shared" si="46"/>
        <v>5</v>
      </c>
      <c r="Y73" s="60">
        <f t="shared" si="47"/>
        <v>25</v>
      </c>
      <c r="Z73" s="94" t="str">
        <f t="shared" ref="Z73:Z104" si="68">IF(Z$2="Stufe A",IF(AND(I73="Auswahl treffen",L73&gt;=0,L73&lt;=1000),J73,IF(AND(I73="Vermögend und ambulant",L73&gt;8,L73&lt;=1000),130,IF(AND(I73="Vermögend und ambulant",L73&gt;4,L73&lt;=8),158,IF(AND(I73="Vermögend und ambulant",L73&gt;2,L73&lt;=4),192,IF(AND(I73="Vermögend und ambulant",L73&gt;1,L73&lt;=2),208,IF(AND(I73="Vermögend und ambulant",L73&gt;0,L73&lt;=1),298,IF(AND(I73="Vermögend und stationär",L73&gt;8,L73&lt;=1000),78,IF(AND(I73="Vermögend und stationär",L73&gt;4,L73&lt;=8),91,IF(AND(I73="Vermögend und stationär",L73&gt;2,L73&lt;=4),140,IF(AND(I73="Vermögend und stationär",L73&gt;1,L73&lt;=2),158,IF(AND(I73="Vermögend und stationär",L73&gt;0,L73&lt;=1),200,IF(AND(I73="Mittellos und ambulant",L73&gt;8,L73&lt;=1000),105,IF(AND(I73="Mittellos und ambulant",L73&gt;4,L73&lt;=8),122,IF(AND(I73="Mittellos und ambulant",L73&gt;2,L73&lt;=4),151,IF(AND(I73="Mittellos und ambulant",L73&gt;1,L73&lt;=2),170,IF(AND(I73="Mittellos und ambulant",L73&gt;0,L73&lt;=1),208,IF(AND(I73="Mittellos und stationär",L73&gt;8,L73&lt;=1000),62,IF(AND(I73="Mittellos und stationär",L73&gt;4,L73&lt;=8),87,IF(AND(I73="Mittellos und stationär",L73&gt;2,L73&lt;=4),124,IF(AND(I73="Mittellos und stationär",L73&gt;1,L73&lt;=2),129,IF(AND(I73="Mittellos und stationär",L73&gt;0,L73&lt;=1),194,""))))))))))))))))))))),IF(Z$2="Stufe B",IF(AND(I73="Auswahl treffen",L73&gt;=0,L73&lt;=1000),J73,IF(AND(I73="Vermögend und ambulant",L73&gt;8,L73&lt;=1000),161,IF(AND(I73="Vermögend und ambulant",L73&gt;4,L73&lt;=8),196,IF(AND(I73="Vermögend und ambulant",L73&gt;2,L73&lt;=4),238,IF(AND(I73="Vermögend und ambulant",L73&gt;1,L73&lt;=2),258,IF(AND(I73="Vermögend und ambulant",L73&gt;0,L73&lt;=1),370,IF(AND(I73="Vermögend und stationär",L73&gt;8,L73&lt;=1000),96,IF(AND(I73="Vermögend und stationär",L73&gt;4,L73&lt;=8),113,IF(AND(I73="Vermögend und stationär",L73&gt;2,L73&lt;=4),174,IF(AND(I73="Vermögend und stationär",L73&gt;1,L73&lt;=2),196,IF(AND(I73="Vermögend und stationär",L73&gt;0,L73&lt;=1),249,IF(AND(I73="Mittellos und ambulant",L73&gt;8,L73&lt;=1000),130,IF(AND(I73="Mittellos und ambulant",L73&gt;4,L73&lt;=8),151,IF(AND(I73="Mittellos und ambulant",L73&gt;2,L73&lt;=4),188,IF(AND(I73="Mittellos und ambulant",L73&gt;1,L73&lt;=2),211,IF(AND(I73="Mittellos und ambulant",L73&gt;0,L73&lt;=1),258,IF(AND(I73="Mittellos und stationär",L73&gt;8,L73&lt;=1000),78,IF(AND(I73="Mittellos und stationär",L73&gt;4,L73&lt;=8),107,IF(AND(I73="Mittellos und stationär",L73&gt;2,L73&lt;=4),154,IF(AND(I73="Mittellos und stationär",L73&gt;1,L73&lt;=2),158,IF(AND(I73="Mittellos und stationär",L73&gt;0,L73&lt;=1),241,""))))))))))))))))))))),IF(Z$2="Stufe C",IF(AND(I73="Auswahl treffen",L73&gt;=0,L73&lt;=1000),J73,IF(AND(I73="Vermögend und ambulant",L73&gt;8,L73&lt;=1000),211,IF(AND(I73="Vermögend und ambulant",L73&gt;4,L73&lt;=8),257,IF(AND(I73="Vermögend und ambulant",L73&gt;2,L73&lt;=4),312,IF(AND(I73="Vermögend und ambulant",L73&gt;1,L73&lt;=2),339,IF(AND(I73="Vermögend und ambulant",L73&gt;0,L73&lt;=1),486,IF(AND(I73="Vermögend und stationär",L73&gt;8,L73&lt;=1000),127,IF(AND(I73="Vermögend und stationär",L73&gt;4,L73&lt;=8),149,IF(AND(I73="Vermögend und stationär",L73&gt;2,L73&lt;=4),229,IF(AND(I73="Vermögend und stationär",L73&gt;1,L73&lt;=2),257,IF(AND(I73="Vermögend und stationär",L73&gt;0,L73&lt;=1),327,IF(AND(I73="Mittellos und ambulant",L73&gt;8,L73&lt;=1000),171,IF(AND(I73="Mittellos und ambulant",L73&gt;4,L73&lt;=8),198,IF(AND(I73="Mittellos und ambulant",L73&gt;2,L73&lt;=4),246,IF(AND(I73="Mittellos und ambulant",L73&gt;1,L73&lt;=2),277,IF(AND(I73="Mittellos und ambulant",L73&gt;0,L73&lt;=1),339,IF(AND(I73="Mittellos und stationär",L73&gt;8,L73&lt;=1000),102,IF(AND(I73="Mittellos und stationär",L73&gt;4,L73&lt;=8),141,IF(AND(I73="Mittellos und stationär",L73&gt;2,L73&lt;=4),202,IF(AND(I73="Mittellos und stationär",L73&gt;1,L73&lt;=2),208,IF(AND(I73="Mittellos und stationär",L73&gt;0,L73&lt;=1),317,""))))))))))))))))))))),"")))</f>
        <v/>
      </c>
      <c r="AA73" s="95" t="str">
        <f t="shared" si="61"/>
        <v/>
      </c>
      <c r="AB73" s="84">
        <f t="shared" si="64"/>
        <v>0</v>
      </c>
      <c r="AC73" s="1310" t="str">
        <f t="shared" si="65"/>
        <v/>
      </c>
      <c r="AD73" s="85"/>
      <c r="AE73" s="45">
        <f t="shared" si="66"/>
        <v>25</v>
      </c>
      <c r="AF73" s="74">
        <f t="shared" si="67"/>
        <v>0</v>
      </c>
      <c r="AG73" s="86" t="str">
        <f t="shared" si="62"/>
        <v/>
      </c>
      <c r="AH73" s="40"/>
      <c r="AI73" s="308" t="s">
        <v>110</v>
      </c>
      <c r="AJ73" s="311">
        <f t="shared" si="44"/>
        <v>0</v>
      </c>
    </row>
    <row r="74" spans="1:36" ht="25" customHeight="1">
      <c r="A74" s="87">
        <v>69</v>
      </c>
      <c r="B74" s="750"/>
      <c r="C74" s="751"/>
      <c r="D74" s="752"/>
      <c r="E74" s="751"/>
      <c r="F74" s="751"/>
      <c r="G74" s="751"/>
      <c r="H74" s="746" t="s">
        <v>89</v>
      </c>
      <c r="I74" s="88" t="s">
        <v>157</v>
      </c>
      <c r="J74" s="467" t="str">
        <f t="shared" si="63"/>
        <v/>
      </c>
      <c r="K74" s="89">
        <f t="shared" si="48"/>
        <v>306</v>
      </c>
      <c r="L74" s="90">
        <f t="shared" si="49"/>
        <v>102</v>
      </c>
      <c r="M74" s="91">
        <f t="shared" si="50"/>
        <v>26</v>
      </c>
      <c r="N74" s="60">
        <f t="shared" si="51"/>
        <v>101.93333333333334</v>
      </c>
      <c r="O74" s="60">
        <f t="shared" si="52"/>
        <v>305.8</v>
      </c>
      <c r="P74" s="60">
        <f t="shared" si="53"/>
        <v>25.483333333333334</v>
      </c>
      <c r="Q74" s="92">
        <f t="shared" si="54"/>
        <v>24</v>
      </c>
      <c r="R74" s="92">
        <f t="shared" si="55"/>
        <v>5</v>
      </c>
      <c r="S74" s="92">
        <f t="shared" si="56"/>
        <v>25</v>
      </c>
      <c r="T74" s="93">
        <f t="shared" si="57"/>
        <v>0</v>
      </c>
      <c r="U74" s="93">
        <f t="shared" si="58"/>
        <v>0</v>
      </c>
      <c r="V74" s="93">
        <f t="shared" si="59"/>
        <v>0</v>
      </c>
      <c r="W74" s="60">
        <f t="shared" si="45"/>
        <v>24</v>
      </c>
      <c r="X74" s="60">
        <f t="shared" si="46"/>
        <v>5</v>
      </c>
      <c r="Y74" s="60">
        <f t="shared" si="47"/>
        <v>25</v>
      </c>
      <c r="Z74" s="94" t="str">
        <f t="shared" si="68"/>
        <v/>
      </c>
      <c r="AA74" s="95" t="str">
        <f t="shared" si="61"/>
        <v/>
      </c>
      <c r="AB74" s="84">
        <f t="shared" si="64"/>
        <v>0</v>
      </c>
      <c r="AC74" s="1310" t="str">
        <f t="shared" si="65"/>
        <v/>
      </c>
      <c r="AD74" s="85"/>
      <c r="AE74" s="45">
        <f t="shared" si="66"/>
        <v>25</v>
      </c>
      <c r="AF74" s="74">
        <f t="shared" si="67"/>
        <v>0</v>
      </c>
      <c r="AG74" s="86" t="str">
        <f t="shared" si="62"/>
        <v/>
      </c>
      <c r="AH74" s="40"/>
      <c r="AI74"/>
      <c r="AJ74"/>
    </row>
    <row r="75" spans="1:36" ht="25" customHeight="1">
      <c r="A75" s="87">
        <v>70</v>
      </c>
      <c r="B75" s="750"/>
      <c r="C75" s="751"/>
      <c r="D75" s="752"/>
      <c r="E75" s="751"/>
      <c r="F75" s="751"/>
      <c r="G75" s="751"/>
      <c r="H75" s="746" t="s">
        <v>89</v>
      </c>
      <c r="I75" s="88" t="s">
        <v>157</v>
      </c>
      <c r="J75" s="467" t="str">
        <f t="shared" si="63"/>
        <v/>
      </c>
      <c r="K75" s="89">
        <f t="shared" si="48"/>
        <v>306</v>
      </c>
      <c r="L75" s="90">
        <f t="shared" si="49"/>
        <v>102</v>
      </c>
      <c r="M75" s="91">
        <f t="shared" si="50"/>
        <v>26</v>
      </c>
      <c r="N75" s="60">
        <f t="shared" si="51"/>
        <v>101.93333333333334</v>
      </c>
      <c r="O75" s="60">
        <f t="shared" si="52"/>
        <v>305.8</v>
      </c>
      <c r="P75" s="60">
        <f t="shared" si="53"/>
        <v>25.483333333333334</v>
      </c>
      <c r="Q75" s="92">
        <f t="shared" si="54"/>
        <v>24</v>
      </c>
      <c r="R75" s="92">
        <f t="shared" si="55"/>
        <v>5</v>
      </c>
      <c r="S75" s="92">
        <f t="shared" si="56"/>
        <v>25</v>
      </c>
      <c r="T75" s="93">
        <f t="shared" si="57"/>
        <v>0</v>
      </c>
      <c r="U75" s="93">
        <f t="shared" si="58"/>
        <v>0</v>
      </c>
      <c r="V75" s="93">
        <f t="shared" si="59"/>
        <v>0</v>
      </c>
      <c r="W75" s="60">
        <f t="shared" si="45"/>
        <v>24</v>
      </c>
      <c r="X75" s="60">
        <f t="shared" si="46"/>
        <v>5</v>
      </c>
      <c r="Y75" s="60">
        <f t="shared" si="47"/>
        <v>25</v>
      </c>
      <c r="Z75" s="94" t="str">
        <f t="shared" si="68"/>
        <v/>
      </c>
      <c r="AA75" s="95" t="str">
        <f t="shared" si="61"/>
        <v/>
      </c>
      <c r="AB75" s="84">
        <f t="shared" si="64"/>
        <v>0</v>
      </c>
      <c r="AC75" s="1310" t="str">
        <f t="shared" si="65"/>
        <v/>
      </c>
      <c r="AD75" s="85"/>
      <c r="AE75" s="45">
        <f t="shared" si="66"/>
        <v>25</v>
      </c>
      <c r="AF75" s="74">
        <f t="shared" si="67"/>
        <v>0</v>
      </c>
      <c r="AG75" s="86" t="str">
        <f t="shared" si="62"/>
        <v/>
      </c>
      <c r="AH75" s="40"/>
      <c r="AI75"/>
      <c r="AJ75"/>
    </row>
    <row r="76" spans="1:36" ht="25" customHeight="1">
      <c r="A76" s="87">
        <v>71</v>
      </c>
      <c r="B76" s="750"/>
      <c r="C76" s="751"/>
      <c r="D76" s="752"/>
      <c r="E76" s="751"/>
      <c r="F76" s="751"/>
      <c r="G76" s="751"/>
      <c r="H76" s="746" t="s">
        <v>89</v>
      </c>
      <c r="I76" s="88" t="s">
        <v>157</v>
      </c>
      <c r="J76" s="467" t="str">
        <f t="shared" si="63"/>
        <v/>
      </c>
      <c r="K76" s="89">
        <f t="shared" si="48"/>
        <v>306</v>
      </c>
      <c r="L76" s="90">
        <f t="shared" si="49"/>
        <v>102</v>
      </c>
      <c r="M76" s="91">
        <f t="shared" si="50"/>
        <v>26</v>
      </c>
      <c r="N76" s="60">
        <f t="shared" si="51"/>
        <v>101.93333333333334</v>
      </c>
      <c r="O76" s="60">
        <f t="shared" si="52"/>
        <v>305.8</v>
      </c>
      <c r="P76" s="60">
        <f t="shared" si="53"/>
        <v>25.483333333333334</v>
      </c>
      <c r="Q76" s="92">
        <f t="shared" si="54"/>
        <v>24</v>
      </c>
      <c r="R76" s="92">
        <f t="shared" si="55"/>
        <v>5</v>
      </c>
      <c r="S76" s="92">
        <f t="shared" si="56"/>
        <v>25</v>
      </c>
      <c r="T76" s="93">
        <f t="shared" si="57"/>
        <v>0</v>
      </c>
      <c r="U76" s="93">
        <f t="shared" si="58"/>
        <v>0</v>
      </c>
      <c r="V76" s="93">
        <f t="shared" si="59"/>
        <v>0</v>
      </c>
      <c r="W76" s="60">
        <f t="shared" si="45"/>
        <v>24</v>
      </c>
      <c r="X76" s="60">
        <f t="shared" si="46"/>
        <v>5</v>
      </c>
      <c r="Y76" s="60">
        <f t="shared" si="47"/>
        <v>25</v>
      </c>
      <c r="Z76" s="94" t="str">
        <f t="shared" si="68"/>
        <v/>
      </c>
      <c r="AA76" s="95" t="str">
        <f t="shared" si="61"/>
        <v/>
      </c>
      <c r="AB76" s="84">
        <f t="shared" si="64"/>
        <v>0</v>
      </c>
      <c r="AC76" s="1310" t="str">
        <f t="shared" si="65"/>
        <v/>
      </c>
      <c r="AD76" s="85"/>
      <c r="AE76" s="45">
        <f t="shared" si="66"/>
        <v>25</v>
      </c>
      <c r="AF76" s="74">
        <f t="shared" si="67"/>
        <v>0</v>
      </c>
      <c r="AG76" s="86" t="str">
        <f t="shared" si="62"/>
        <v/>
      </c>
      <c r="AH76" s="40"/>
      <c r="AI76"/>
      <c r="AJ76"/>
    </row>
    <row r="77" spans="1:36" ht="25" customHeight="1">
      <c r="A77" s="87">
        <v>72</v>
      </c>
      <c r="B77" s="750"/>
      <c r="C77" s="751"/>
      <c r="D77" s="752"/>
      <c r="E77" s="751"/>
      <c r="F77" s="751"/>
      <c r="G77" s="751"/>
      <c r="H77" s="746" t="s">
        <v>89</v>
      </c>
      <c r="I77" s="88" t="s">
        <v>157</v>
      </c>
      <c r="J77" s="467" t="str">
        <f t="shared" si="63"/>
        <v/>
      </c>
      <c r="K77" s="89">
        <f t="shared" si="48"/>
        <v>306</v>
      </c>
      <c r="L77" s="90">
        <f t="shared" si="49"/>
        <v>102</v>
      </c>
      <c r="M77" s="91">
        <f t="shared" si="50"/>
        <v>26</v>
      </c>
      <c r="N77" s="60">
        <f t="shared" si="51"/>
        <v>101.93333333333334</v>
      </c>
      <c r="O77" s="60">
        <f t="shared" si="52"/>
        <v>305.8</v>
      </c>
      <c r="P77" s="60">
        <f t="shared" si="53"/>
        <v>25.483333333333334</v>
      </c>
      <c r="Q77" s="92">
        <f t="shared" si="54"/>
        <v>24</v>
      </c>
      <c r="R77" s="92">
        <f t="shared" si="55"/>
        <v>5</v>
      </c>
      <c r="S77" s="92">
        <f t="shared" si="56"/>
        <v>25</v>
      </c>
      <c r="T77" s="93">
        <f t="shared" si="57"/>
        <v>0</v>
      </c>
      <c r="U77" s="93">
        <f t="shared" si="58"/>
        <v>0</v>
      </c>
      <c r="V77" s="93">
        <f t="shared" si="59"/>
        <v>0</v>
      </c>
      <c r="W77" s="60">
        <f t="shared" si="45"/>
        <v>24</v>
      </c>
      <c r="X77" s="60">
        <f t="shared" si="46"/>
        <v>5</v>
      </c>
      <c r="Y77" s="60">
        <f t="shared" si="47"/>
        <v>25</v>
      </c>
      <c r="Z77" s="94" t="str">
        <f t="shared" si="68"/>
        <v/>
      </c>
      <c r="AA77" s="95" t="str">
        <f t="shared" si="61"/>
        <v/>
      </c>
      <c r="AB77" s="84">
        <f t="shared" si="64"/>
        <v>0</v>
      </c>
      <c r="AC77" s="1310" t="str">
        <f t="shared" si="65"/>
        <v/>
      </c>
      <c r="AD77" s="85"/>
      <c r="AE77" s="45">
        <f t="shared" si="66"/>
        <v>25</v>
      </c>
      <c r="AF77" s="74">
        <f t="shared" si="67"/>
        <v>0</v>
      </c>
      <c r="AG77" s="86" t="str">
        <f t="shared" si="62"/>
        <v/>
      </c>
      <c r="AH77" s="40"/>
      <c r="AI77"/>
      <c r="AJ77"/>
    </row>
    <row r="78" spans="1:36" ht="25" customHeight="1">
      <c r="A78" s="87">
        <v>73</v>
      </c>
      <c r="B78" s="750"/>
      <c r="C78" s="751"/>
      <c r="D78" s="752"/>
      <c r="E78" s="751"/>
      <c r="F78" s="751"/>
      <c r="G78" s="751"/>
      <c r="H78" s="746" t="s">
        <v>89</v>
      </c>
      <c r="I78" s="88" t="s">
        <v>157</v>
      </c>
      <c r="J78" s="467" t="str">
        <f t="shared" si="63"/>
        <v/>
      </c>
      <c r="K78" s="89">
        <f t="shared" si="48"/>
        <v>306</v>
      </c>
      <c r="L78" s="90">
        <f t="shared" si="49"/>
        <v>102</v>
      </c>
      <c r="M78" s="91">
        <f t="shared" si="50"/>
        <v>26</v>
      </c>
      <c r="N78" s="60">
        <f t="shared" si="51"/>
        <v>101.93333333333334</v>
      </c>
      <c r="O78" s="60">
        <f t="shared" si="52"/>
        <v>305.8</v>
      </c>
      <c r="P78" s="60">
        <f t="shared" si="53"/>
        <v>25.483333333333334</v>
      </c>
      <c r="Q78" s="92">
        <f t="shared" si="54"/>
        <v>24</v>
      </c>
      <c r="R78" s="92">
        <f t="shared" si="55"/>
        <v>5</v>
      </c>
      <c r="S78" s="92">
        <f t="shared" si="56"/>
        <v>25</v>
      </c>
      <c r="T78" s="93">
        <f t="shared" si="57"/>
        <v>0</v>
      </c>
      <c r="U78" s="93">
        <f t="shared" si="58"/>
        <v>0</v>
      </c>
      <c r="V78" s="93">
        <f t="shared" si="59"/>
        <v>0</v>
      </c>
      <c r="W78" s="60">
        <f t="shared" si="45"/>
        <v>24</v>
      </c>
      <c r="X78" s="60">
        <f t="shared" si="46"/>
        <v>5</v>
      </c>
      <c r="Y78" s="60">
        <f t="shared" si="47"/>
        <v>25</v>
      </c>
      <c r="Z78" s="94" t="str">
        <f t="shared" si="68"/>
        <v/>
      </c>
      <c r="AA78" s="95" t="str">
        <f t="shared" si="61"/>
        <v/>
      </c>
      <c r="AB78" s="84">
        <f t="shared" si="64"/>
        <v>0</v>
      </c>
      <c r="AC78" s="1310" t="str">
        <f t="shared" si="65"/>
        <v/>
      </c>
      <c r="AD78" s="85"/>
      <c r="AE78" s="45">
        <f t="shared" si="66"/>
        <v>25</v>
      </c>
      <c r="AF78" s="74">
        <f t="shared" si="67"/>
        <v>0</v>
      </c>
      <c r="AG78" s="86" t="str">
        <f t="shared" si="62"/>
        <v/>
      </c>
      <c r="AH78" s="40"/>
      <c r="AI78" s="309" t="s">
        <v>134</v>
      </c>
      <c r="AJ78" s="310" t="s">
        <v>135</v>
      </c>
    </row>
    <row r="79" spans="1:36" ht="25" customHeight="1">
      <c r="A79" s="87">
        <v>74</v>
      </c>
      <c r="B79" s="750"/>
      <c r="C79" s="751"/>
      <c r="D79" s="752"/>
      <c r="E79" s="751"/>
      <c r="F79" s="751"/>
      <c r="G79" s="751"/>
      <c r="H79" s="746" t="s">
        <v>89</v>
      </c>
      <c r="I79" s="88" t="s">
        <v>157</v>
      </c>
      <c r="J79" s="467" t="str">
        <f t="shared" si="63"/>
        <v/>
      </c>
      <c r="K79" s="89">
        <f t="shared" si="48"/>
        <v>306</v>
      </c>
      <c r="L79" s="90">
        <f t="shared" si="49"/>
        <v>102</v>
      </c>
      <c r="M79" s="91">
        <f t="shared" si="50"/>
        <v>26</v>
      </c>
      <c r="N79" s="60">
        <f t="shared" si="51"/>
        <v>101.93333333333334</v>
      </c>
      <c r="O79" s="60">
        <f t="shared" si="52"/>
        <v>305.8</v>
      </c>
      <c r="P79" s="60">
        <f t="shared" si="53"/>
        <v>25.483333333333334</v>
      </c>
      <c r="Q79" s="92">
        <f t="shared" si="54"/>
        <v>24</v>
      </c>
      <c r="R79" s="92">
        <f t="shared" si="55"/>
        <v>5</v>
      </c>
      <c r="S79" s="92">
        <f t="shared" si="56"/>
        <v>25</v>
      </c>
      <c r="T79" s="93">
        <f t="shared" si="57"/>
        <v>0</v>
      </c>
      <c r="U79" s="93">
        <f t="shared" si="58"/>
        <v>0</v>
      </c>
      <c r="V79" s="93">
        <f t="shared" si="59"/>
        <v>0</v>
      </c>
      <c r="W79" s="60">
        <f t="shared" si="45"/>
        <v>24</v>
      </c>
      <c r="X79" s="60">
        <f t="shared" si="46"/>
        <v>5</v>
      </c>
      <c r="Y79" s="60">
        <f t="shared" si="47"/>
        <v>25</v>
      </c>
      <c r="Z79" s="94" t="str">
        <f t="shared" si="68"/>
        <v/>
      </c>
      <c r="AA79" s="95" t="str">
        <f t="shared" si="61"/>
        <v/>
      </c>
      <c r="AB79" s="84">
        <f t="shared" si="64"/>
        <v>0</v>
      </c>
      <c r="AC79" s="1310" t="str">
        <f t="shared" si="65"/>
        <v/>
      </c>
      <c r="AD79" s="85"/>
      <c r="AE79" s="45">
        <f t="shared" si="66"/>
        <v>25</v>
      </c>
      <c r="AF79" s="74">
        <f t="shared" si="67"/>
        <v>0</v>
      </c>
      <c r="AG79" s="86" t="str">
        <f t="shared" si="62"/>
        <v/>
      </c>
      <c r="AH79" s="40"/>
      <c r="AI79" s="308" t="s">
        <v>89</v>
      </c>
      <c r="AJ79" s="311" t="str">
        <f>B107</f>
        <v>Amtsgericht XXX
Betreuungsgericht
Postfach XXX</v>
      </c>
    </row>
    <row r="80" spans="1:36" ht="25" customHeight="1">
      <c r="A80" s="87">
        <v>75</v>
      </c>
      <c r="B80" s="750"/>
      <c r="C80" s="751"/>
      <c r="D80" s="759"/>
      <c r="E80" s="751"/>
      <c r="F80" s="751"/>
      <c r="G80" s="751"/>
      <c r="H80" s="746" t="s">
        <v>89</v>
      </c>
      <c r="I80" s="88" t="s">
        <v>157</v>
      </c>
      <c r="J80" s="467" t="str">
        <f t="shared" si="63"/>
        <v/>
      </c>
      <c r="K80" s="89">
        <f t="shared" si="48"/>
        <v>306</v>
      </c>
      <c r="L80" s="90">
        <f t="shared" si="49"/>
        <v>102</v>
      </c>
      <c r="M80" s="91">
        <f t="shared" si="50"/>
        <v>26</v>
      </c>
      <c r="N80" s="60">
        <f t="shared" si="51"/>
        <v>101.93333333333334</v>
      </c>
      <c r="O80" s="60">
        <f t="shared" si="52"/>
        <v>305.8</v>
      </c>
      <c r="P80" s="60">
        <f t="shared" si="53"/>
        <v>25.483333333333334</v>
      </c>
      <c r="Q80" s="92">
        <f t="shared" si="54"/>
        <v>24</v>
      </c>
      <c r="R80" s="92">
        <f t="shared" si="55"/>
        <v>5</v>
      </c>
      <c r="S80" s="92">
        <f t="shared" si="56"/>
        <v>25</v>
      </c>
      <c r="T80" s="93">
        <f t="shared" si="57"/>
        <v>0</v>
      </c>
      <c r="U80" s="93">
        <f t="shared" si="58"/>
        <v>0</v>
      </c>
      <c r="V80" s="93">
        <f t="shared" si="59"/>
        <v>0</v>
      </c>
      <c r="W80" s="60">
        <f t="shared" si="45"/>
        <v>24</v>
      </c>
      <c r="X80" s="60">
        <f t="shared" si="46"/>
        <v>5</v>
      </c>
      <c r="Y80" s="60">
        <f t="shared" si="47"/>
        <v>25</v>
      </c>
      <c r="Z80" s="94" t="str">
        <f t="shared" si="68"/>
        <v/>
      </c>
      <c r="AA80" s="95" t="str">
        <f t="shared" si="61"/>
        <v/>
      </c>
      <c r="AB80" s="84">
        <f t="shared" si="64"/>
        <v>0</v>
      </c>
      <c r="AC80" s="1310" t="str">
        <f t="shared" si="65"/>
        <v/>
      </c>
      <c r="AD80" s="85"/>
      <c r="AE80" s="45">
        <f t="shared" si="66"/>
        <v>25</v>
      </c>
      <c r="AF80" s="74">
        <f t="shared" si="67"/>
        <v>0</v>
      </c>
      <c r="AG80" s="86" t="str">
        <f t="shared" si="62"/>
        <v/>
      </c>
      <c r="AH80" s="40"/>
      <c r="AI80" s="308" t="s">
        <v>90</v>
      </c>
      <c r="AJ80" s="311" t="str">
        <f>B108</f>
        <v>Amtsgericht Marsberg
Betreuungsgericht
Postfach 1555
34421 Marsberg</v>
      </c>
    </row>
    <row r="81" spans="1:36" ht="25" customHeight="1">
      <c r="A81" s="87">
        <v>76</v>
      </c>
      <c r="B81" s="750"/>
      <c r="C81" s="751"/>
      <c r="D81" s="752"/>
      <c r="E81" s="751"/>
      <c r="F81" s="751"/>
      <c r="G81" s="751"/>
      <c r="H81" s="746" t="s">
        <v>89</v>
      </c>
      <c r="I81" s="88" t="s">
        <v>157</v>
      </c>
      <c r="J81" s="467" t="str">
        <f t="shared" si="63"/>
        <v/>
      </c>
      <c r="K81" s="89">
        <f t="shared" si="48"/>
        <v>306</v>
      </c>
      <c r="L81" s="90">
        <f t="shared" si="49"/>
        <v>102</v>
      </c>
      <c r="M81" s="91">
        <f t="shared" si="50"/>
        <v>26</v>
      </c>
      <c r="N81" s="60">
        <f t="shared" si="51"/>
        <v>101.93333333333334</v>
      </c>
      <c r="O81" s="60">
        <f t="shared" si="52"/>
        <v>305.8</v>
      </c>
      <c r="P81" s="60">
        <f t="shared" si="53"/>
        <v>25.483333333333334</v>
      </c>
      <c r="Q81" s="92">
        <f t="shared" si="54"/>
        <v>24</v>
      </c>
      <c r="R81" s="92">
        <f t="shared" si="55"/>
        <v>5</v>
      </c>
      <c r="S81" s="92">
        <f t="shared" si="56"/>
        <v>25</v>
      </c>
      <c r="T81" s="93">
        <f t="shared" si="57"/>
        <v>0</v>
      </c>
      <c r="U81" s="93">
        <f t="shared" si="58"/>
        <v>0</v>
      </c>
      <c r="V81" s="93">
        <f t="shared" si="59"/>
        <v>0</v>
      </c>
      <c r="W81" s="60">
        <f t="shared" si="45"/>
        <v>24</v>
      </c>
      <c r="X81" s="60">
        <f t="shared" si="46"/>
        <v>5</v>
      </c>
      <c r="Y81" s="60">
        <f t="shared" si="47"/>
        <v>25</v>
      </c>
      <c r="Z81" s="94" t="str">
        <f t="shared" si="68"/>
        <v/>
      </c>
      <c r="AA81" s="95" t="str">
        <f t="shared" si="61"/>
        <v/>
      </c>
      <c r="AB81" s="84">
        <f t="shared" si="64"/>
        <v>0</v>
      </c>
      <c r="AC81" s="1310" t="str">
        <f t="shared" si="65"/>
        <v/>
      </c>
      <c r="AD81" s="85"/>
      <c r="AE81" s="45">
        <f t="shared" si="66"/>
        <v>25</v>
      </c>
      <c r="AF81" s="74">
        <f t="shared" si="67"/>
        <v>0</v>
      </c>
      <c r="AG81" s="86" t="str">
        <f t="shared" si="62"/>
        <v/>
      </c>
      <c r="AH81" s="40"/>
      <c r="AI81" s="308" t="s">
        <v>91</v>
      </c>
      <c r="AJ81" s="311" t="str">
        <f t="shared" ref="AJ81:AJ104" si="69">B109</f>
        <v>Amtsgericht Brakel
Betreuungsgericht
Nieheimer Str. 17
33934 Brakel</v>
      </c>
    </row>
    <row r="82" spans="1:36" ht="25" customHeight="1">
      <c r="A82" s="87">
        <v>77</v>
      </c>
      <c r="B82" s="750"/>
      <c r="C82" s="751"/>
      <c r="D82" s="752"/>
      <c r="E82" s="751"/>
      <c r="F82" s="751"/>
      <c r="G82" s="751"/>
      <c r="H82" s="746" t="s">
        <v>89</v>
      </c>
      <c r="I82" s="88" t="s">
        <v>157</v>
      </c>
      <c r="J82" s="467" t="str">
        <f t="shared" si="63"/>
        <v/>
      </c>
      <c r="K82" s="89">
        <f t="shared" si="48"/>
        <v>306</v>
      </c>
      <c r="L82" s="90">
        <f t="shared" si="49"/>
        <v>102</v>
      </c>
      <c r="M82" s="91">
        <f t="shared" si="50"/>
        <v>26</v>
      </c>
      <c r="N82" s="60">
        <f t="shared" si="51"/>
        <v>101.93333333333334</v>
      </c>
      <c r="O82" s="60">
        <f t="shared" si="52"/>
        <v>305.8</v>
      </c>
      <c r="P82" s="60">
        <f t="shared" si="53"/>
        <v>25.483333333333334</v>
      </c>
      <c r="Q82" s="92">
        <f t="shared" si="54"/>
        <v>24</v>
      </c>
      <c r="R82" s="92">
        <f t="shared" si="55"/>
        <v>5</v>
      </c>
      <c r="S82" s="92">
        <f t="shared" si="56"/>
        <v>25</v>
      </c>
      <c r="T82" s="93">
        <f t="shared" si="57"/>
        <v>0</v>
      </c>
      <c r="U82" s="93">
        <f t="shared" si="58"/>
        <v>0</v>
      </c>
      <c r="V82" s="93">
        <f t="shared" si="59"/>
        <v>0</v>
      </c>
      <c r="W82" s="60">
        <f t="shared" si="45"/>
        <v>24</v>
      </c>
      <c r="X82" s="60">
        <f t="shared" si="46"/>
        <v>5</v>
      </c>
      <c r="Y82" s="60">
        <f t="shared" si="47"/>
        <v>25</v>
      </c>
      <c r="Z82" s="94" t="str">
        <f t="shared" si="68"/>
        <v/>
      </c>
      <c r="AA82" s="95" t="str">
        <f t="shared" si="61"/>
        <v/>
      </c>
      <c r="AB82" s="84">
        <f t="shared" si="64"/>
        <v>0</v>
      </c>
      <c r="AC82" s="1310" t="str">
        <f t="shared" si="65"/>
        <v/>
      </c>
      <c r="AD82" s="85"/>
      <c r="AE82" s="45">
        <f t="shared" si="66"/>
        <v>25</v>
      </c>
      <c r="AF82" s="74">
        <f t="shared" si="67"/>
        <v>0</v>
      </c>
      <c r="AG82" s="86" t="str">
        <f t="shared" si="62"/>
        <v/>
      </c>
      <c r="AH82" s="40"/>
      <c r="AI82" s="308" t="s">
        <v>92</v>
      </c>
      <c r="AJ82" s="311" t="str">
        <f t="shared" si="69"/>
        <v xml:space="preserve">Amtsgericht Lennestadt 
Betreuungsgericht
Postfach 3040
57347 Lennestadt
</v>
      </c>
    </row>
    <row r="83" spans="1:36" ht="25" customHeight="1">
      <c r="A83" s="87">
        <v>78</v>
      </c>
      <c r="B83" s="750"/>
      <c r="C83" s="751"/>
      <c r="D83" s="752"/>
      <c r="E83" s="751"/>
      <c r="F83" s="751"/>
      <c r="G83" s="751"/>
      <c r="H83" s="746" t="s">
        <v>89</v>
      </c>
      <c r="I83" s="88" t="s">
        <v>157</v>
      </c>
      <c r="J83" s="467" t="str">
        <f t="shared" si="63"/>
        <v/>
      </c>
      <c r="K83" s="89">
        <f t="shared" si="48"/>
        <v>306</v>
      </c>
      <c r="L83" s="90">
        <f t="shared" si="49"/>
        <v>102</v>
      </c>
      <c r="M83" s="91">
        <f t="shared" si="50"/>
        <v>26</v>
      </c>
      <c r="N83" s="60">
        <f t="shared" si="51"/>
        <v>101.93333333333334</v>
      </c>
      <c r="O83" s="60">
        <f t="shared" si="52"/>
        <v>305.8</v>
      </c>
      <c r="P83" s="60">
        <f t="shared" si="53"/>
        <v>25.483333333333334</v>
      </c>
      <c r="Q83" s="92">
        <f t="shared" si="54"/>
        <v>24</v>
      </c>
      <c r="R83" s="92">
        <f t="shared" si="55"/>
        <v>5</v>
      </c>
      <c r="S83" s="92">
        <f t="shared" si="56"/>
        <v>25</v>
      </c>
      <c r="T83" s="93">
        <f t="shared" si="57"/>
        <v>0</v>
      </c>
      <c r="U83" s="93">
        <f t="shared" si="58"/>
        <v>0</v>
      </c>
      <c r="V83" s="93">
        <f t="shared" si="59"/>
        <v>0</v>
      </c>
      <c r="W83" s="60">
        <f t="shared" si="45"/>
        <v>24</v>
      </c>
      <c r="X83" s="60">
        <f t="shared" si="46"/>
        <v>5</v>
      </c>
      <c r="Y83" s="60">
        <f t="shared" si="47"/>
        <v>25</v>
      </c>
      <c r="Z83" s="94" t="str">
        <f t="shared" si="68"/>
        <v/>
      </c>
      <c r="AA83" s="95" t="str">
        <f t="shared" si="61"/>
        <v/>
      </c>
      <c r="AB83" s="84">
        <f t="shared" si="64"/>
        <v>0</v>
      </c>
      <c r="AC83" s="1310" t="str">
        <f t="shared" si="65"/>
        <v/>
      </c>
      <c r="AD83" s="85"/>
      <c r="AE83" s="45">
        <f t="shared" si="66"/>
        <v>25</v>
      </c>
      <c r="AF83" s="74">
        <f t="shared" si="67"/>
        <v>0</v>
      </c>
      <c r="AG83" s="86" t="str">
        <f t="shared" si="62"/>
        <v/>
      </c>
      <c r="AH83" s="40"/>
      <c r="AI83" s="308" t="s">
        <v>93</v>
      </c>
      <c r="AJ83" s="311" t="str">
        <f t="shared" si="69"/>
        <v>Amtsgericht Delbrück
Betreuungsgericht
Postfach 1161
33119 Delbrück</v>
      </c>
    </row>
    <row r="84" spans="1:36" ht="25" customHeight="1">
      <c r="A84" s="87">
        <v>79</v>
      </c>
      <c r="B84" s="750"/>
      <c r="C84" s="751"/>
      <c r="D84" s="752"/>
      <c r="E84" s="751"/>
      <c r="F84" s="751"/>
      <c r="G84" s="751"/>
      <c r="H84" s="746" t="s">
        <v>89</v>
      </c>
      <c r="I84" s="88" t="s">
        <v>157</v>
      </c>
      <c r="J84" s="467" t="str">
        <f t="shared" si="63"/>
        <v/>
      </c>
      <c r="K84" s="89">
        <f t="shared" si="48"/>
        <v>306</v>
      </c>
      <c r="L84" s="90">
        <f t="shared" si="49"/>
        <v>102</v>
      </c>
      <c r="M84" s="91">
        <f t="shared" si="50"/>
        <v>26</v>
      </c>
      <c r="N84" s="60">
        <f t="shared" si="51"/>
        <v>101.93333333333334</v>
      </c>
      <c r="O84" s="60">
        <f t="shared" si="52"/>
        <v>305.8</v>
      </c>
      <c r="P84" s="60">
        <f t="shared" si="53"/>
        <v>25.483333333333334</v>
      </c>
      <c r="Q84" s="92">
        <f t="shared" si="54"/>
        <v>24</v>
      </c>
      <c r="R84" s="92">
        <f t="shared" si="55"/>
        <v>5</v>
      </c>
      <c r="S84" s="92">
        <f t="shared" si="56"/>
        <v>25</v>
      </c>
      <c r="T84" s="93">
        <f t="shared" si="57"/>
        <v>0</v>
      </c>
      <c r="U84" s="93">
        <f t="shared" si="58"/>
        <v>0</v>
      </c>
      <c r="V84" s="93">
        <f t="shared" si="59"/>
        <v>0</v>
      </c>
      <c r="W84" s="60">
        <f t="shared" si="45"/>
        <v>24</v>
      </c>
      <c r="X84" s="60">
        <f t="shared" si="46"/>
        <v>5</v>
      </c>
      <c r="Y84" s="60">
        <f t="shared" si="47"/>
        <v>25</v>
      </c>
      <c r="Z84" s="94" t="str">
        <f t="shared" si="68"/>
        <v/>
      </c>
      <c r="AA84" s="95" t="str">
        <f t="shared" si="61"/>
        <v/>
      </c>
      <c r="AB84" s="84">
        <f t="shared" si="64"/>
        <v>0</v>
      </c>
      <c r="AC84" s="1310" t="str">
        <f t="shared" si="65"/>
        <v/>
      </c>
      <c r="AD84" s="85"/>
      <c r="AE84" s="45">
        <f t="shared" si="66"/>
        <v>25</v>
      </c>
      <c r="AF84" s="74">
        <f t="shared" si="67"/>
        <v>0</v>
      </c>
      <c r="AG84" s="86" t="str">
        <f t="shared" si="62"/>
        <v/>
      </c>
      <c r="AH84" s="40"/>
      <c r="AI84" s="308" t="s">
        <v>94</v>
      </c>
      <c r="AJ84" s="311" t="str">
        <f t="shared" si="69"/>
        <v>Amtsgericht Detmold 
Betreuungsgericht
Postfach 1163 
32701 Detmold</v>
      </c>
    </row>
    <row r="85" spans="1:36" ht="25" customHeight="1">
      <c r="A85" s="87">
        <v>80</v>
      </c>
      <c r="B85" s="750"/>
      <c r="C85" s="751"/>
      <c r="D85" s="757"/>
      <c r="E85" s="751"/>
      <c r="F85" s="751"/>
      <c r="G85" s="751"/>
      <c r="H85" s="746" t="s">
        <v>89</v>
      </c>
      <c r="I85" s="88" t="s">
        <v>157</v>
      </c>
      <c r="J85" s="467" t="str">
        <f t="shared" si="63"/>
        <v/>
      </c>
      <c r="K85" s="89">
        <f t="shared" si="48"/>
        <v>306</v>
      </c>
      <c r="L85" s="90">
        <f t="shared" si="49"/>
        <v>102</v>
      </c>
      <c r="M85" s="91">
        <f t="shared" si="50"/>
        <v>26</v>
      </c>
      <c r="N85" s="60">
        <f t="shared" si="51"/>
        <v>101.93333333333334</v>
      </c>
      <c r="O85" s="60">
        <f t="shared" si="52"/>
        <v>305.8</v>
      </c>
      <c r="P85" s="60">
        <f t="shared" si="53"/>
        <v>25.483333333333334</v>
      </c>
      <c r="Q85" s="92">
        <f t="shared" si="54"/>
        <v>24</v>
      </c>
      <c r="R85" s="92">
        <f t="shared" si="55"/>
        <v>5</v>
      </c>
      <c r="S85" s="92">
        <f t="shared" si="56"/>
        <v>25</v>
      </c>
      <c r="T85" s="93">
        <f t="shared" si="57"/>
        <v>0</v>
      </c>
      <c r="U85" s="93">
        <f t="shared" si="58"/>
        <v>0</v>
      </c>
      <c r="V85" s="93">
        <f t="shared" si="59"/>
        <v>0</v>
      </c>
      <c r="W85" s="60">
        <f t="shared" si="45"/>
        <v>24</v>
      </c>
      <c r="X85" s="60">
        <f t="shared" si="46"/>
        <v>5</v>
      </c>
      <c r="Y85" s="60">
        <f t="shared" si="47"/>
        <v>25</v>
      </c>
      <c r="Z85" s="94" t="str">
        <f t="shared" si="68"/>
        <v/>
      </c>
      <c r="AA85" s="95" t="str">
        <f t="shared" si="61"/>
        <v/>
      </c>
      <c r="AB85" s="84">
        <f t="shared" si="64"/>
        <v>0</v>
      </c>
      <c r="AC85" s="1310" t="str">
        <f t="shared" si="65"/>
        <v/>
      </c>
      <c r="AD85" s="85"/>
      <c r="AE85" s="45">
        <f t="shared" si="66"/>
        <v>25</v>
      </c>
      <c r="AF85" s="74">
        <f t="shared" si="67"/>
        <v>0</v>
      </c>
      <c r="AG85" s="86" t="str">
        <f t="shared" si="62"/>
        <v/>
      </c>
      <c r="AH85" s="40"/>
      <c r="AI85" s="308" t="s">
        <v>95</v>
      </c>
      <c r="AJ85" s="311">
        <f t="shared" si="69"/>
        <v>0</v>
      </c>
    </row>
    <row r="86" spans="1:36" ht="25" customHeight="1">
      <c r="A86" s="87">
        <v>81</v>
      </c>
      <c r="B86" s="760"/>
      <c r="C86" s="761"/>
      <c r="D86" s="752"/>
      <c r="E86" s="751"/>
      <c r="F86" s="751"/>
      <c r="G86" s="751"/>
      <c r="H86" s="746" t="s">
        <v>89</v>
      </c>
      <c r="I86" s="88" t="s">
        <v>157</v>
      </c>
      <c r="J86" s="467" t="str">
        <f t="shared" si="63"/>
        <v/>
      </c>
      <c r="K86" s="89">
        <f t="shared" si="48"/>
        <v>306</v>
      </c>
      <c r="L86" s="90">
        <f t="shared" si="49"/>
        <v>102</v>
      </c>
      <c r="M86" s="91">
        <f t="shared" si="50"/>
        <v>26</v>
      </c>
      <c r="N86" s="60">
        <f t="shared" si="51"/>
        <v>101.93333333333334</v>
      </c>
      <c r="O86" s="60">
        <f t="shared" si="52"/>
        <v>305.8</v>
      </c>
      <c r="P86" s="60">
        <f t="shared" si="53"/>
        <v>25.483333333333334</v>
      </c>
      <c r="Q86" s="92">
        <f t="shared" si="54"/>
        <v>24</v>
      </c>
      <c r="R86" s="92">
        <f t="shared" si="55"/>
        <v>5</v>
      </c>
      <c r="S86" s="92">
        <f t="shared" si="56"/>
        <v>25</v>
      </c>
      <c r="T86" s="93">
        <f t="shared" si="57"/>
        <v>0</v>
      </c>
      <c r="U86" s="93">
        <f t="shared" si="58"/>
        <v>0</v>
      </c>
      <c r="V86" s="93">
        <f t="shared" si="59"/>
        <v>0</v>
      </c>
      <c r="W86" s="60">
        <f t="shared" si="45"/>
        <v>24</v>
      </c>
      <c r="X86" s="60">
        <f t="shared" si="46"/>
        <v>5</v>
      </c>
      <c r="Y86" s="60">
        <f t="shared" si="47"/>
        <v>25</v>
      </c>
      <c r="Z86" s="94" t="str">
        <f t="shared" si="68"/>
        <v/>
      </c>
      <c r="AA86" s="95" t="str">
        <f t="shared" si="61"/>
        <v/>
      </c>
      <c r="AB86" s="84">
        <f t="shared" si="64"/>
        <v>0</v>
      </c>
      <c r="AC86" s="1310" t="str">
        <f t="shared" si="65"/>
        <v/>
      </c>
      <c r="AD86" s="85"/>
      <c r="AE86" s="45">
        <f t="shared" si="66"/>
        <v>25</v>
      </c>
      <c r="AF86" s="74">
        <f t="shared" si="67"/>
        <v>0</v>
      </c>
      <c r="AG86" s="86" t="str">
        <f t="shared" si="62"/>
        <v/>
      </c>
      <c r="AH86" s="40"/>
      <c r="AI86" s="308" t="s">
        <v>96</v>
      </c>
      <c r="AJ86" s="311" t="str">
        <f t="shared" si="69"/>
        <v xml:space="preserve">Amtsgericht Musterstadt
Betreuungsabteilung
Postfach 1234
</v>
      </c>
    </row>
    <row r="87" spans="1:36" ht="25" customHeight="1">
      <c r="A87" s="87">
        <v>82</v>
      </c>
      <c r="B87" s="762"/>
      <c r="C87" s="751"/>
      <c r="D87" s="763"/>
      <c r="E87" s="751"/>
      <c r="F87" s="751"/>
      <c r="G87" s="751"/>
      <c r="H87" s="746" t="s">
        <v>89</v>
      </c>
      <c r="I87" s="88" t="s">
        <v>157</v>
      </c>
      <c r="J87" s="467" t="str">
        <f t="shared" si="63"/>
        <v/>
      </c>
      <c r="K87" s="89">
        <f t="shared" si="48"/>
        <v>306</v>
      </c>
      <c r="L87" s="90">
        <f t="shared" si="49"/>
        <v>102</v>
      </c>
      <c r="M87" s="91">
        <f t="shared" si="50"/>
        <v>26</v>
      </c>
      <c r="N87" s="60">
        <f t="shared" si="51"/>
        <v>101.93333333333334</v>
      </c>
      <c r="O87" s="60">
        <f t="shared" si="52"/>
        <v>305.8</v>
      </c>
      <c r="P87" s="60">
        <f t="shared" si="53"/>
        <v>25.483333333333334</v>
      </c>
      <c r="Q87" s="92">
        <f t="shared" si="54"/>
        <v>24</v>
      </c>
      <c r="R87" s="92">
        <f t="shared" si="55"/>
        <v>5</v>
      </c>
      <c r="S87" s="92">
        <f t="shared" si="56"/>
        <v>25</v>
      </c>
      <c r="T87" s="93">
        <f t="shared" si="57"/>
        <v>0</v>
      </c>
      <c r="U87" s="93">
        <f t="shared" si="58"/>
        <v>0</v>
      </c>
      <c r="V87" s="93">
        <f t="shared" si="59"/>
        <v>0</v>
      </c>
      <c r="W87" s="60">
        <f t="shared" si="45"/>
        <v>24</v>
      </c>
      <c r="X87" s="60">
        <f t="shared" si="46"/>
        <v>5</v>
      </c>
      <c r="Y87" s="60">
        <f t="shared" si="47"/>
        <v>25</v>
      </c>
      <c r="Z87" s="94" t="str">
        <f t="shared" si="68"/>
        <v/>
      </c>
      <c r="AA87" s="95" t="str">
        <f t="shared" si="61"/>
        <v/>
      </c>
      <c r="AB87" s="84">
        <f t="shared" si="64"/>
        <v>0</v>
      </c>
      <c r="AC87" s="1310" t="str">
        <f t="shared" si="65"/>
        <v/>
      </c>
      <c r="AD87" s="85"/>
      <c r="AE87" s="45">
        <f t="shared" si="66"/>
        <v>25</v>
      </c>
      <c r="AF87" s="74">
        <f t="shared" si="67"/>
        <v>0</v>
      </c>
      <c r="AG87" s="86" t="str">
        <f t="shared" si="62"/>
        <v/>
      </c>
      <c r="AH87" s="40"/>
      <c r="AI87" s="308" t="s">
        <v>97</v>
      </c>
      <c r="AJ87" s="311" t="str">
        <f t="shared" si="69"/>
        <v xml:space="preserve">Amtsgericht Musterstadt
Betreuungsabteilung
Postfach 1234
</v>
      </c>
    </row>
    <row r="88" spans="1:36" ht="25" customHeight="1">
      <c r="A88" s="87">
        <v>83</v>
      </c>
      <c r="B88" s="762"/>
      <c r="C88" s="751"/>
      <c r="D88" s="757"/>
      <c r="E88" s="751"/>
      <c r="F88" s="751"/>
      <c r="G88" s="751"/>
      <c r="H88" s="746" t="s">
        <v>89</v>
      </c>
      <c r="I88" s="88" t="s">
        <v>157</v>
      </c>
      <c r="J88" s="467" t="str">
        <f t="shared" si="63"/>
        <v/>
      </c>
      <c r="K88" s="89">
        <f t="shared" si="48"/>
        <v>306</v>
      </c>
      <c r="L88" s="90">
        <f t="shared" si="49"/>
        <v>102</v>
      </c>
      <c r="M88" s="91">
        <f t="shared" si="50"/>
        <v>26</v>
      </c>
      <c r="N88" s="60">
        <f t="shared" si="51"/>
        <v>101.93333333333334</v>
      </c>
      <c r="O88" s="60">
        <f t="shared" si="52"/>
        <v>305.8</v>
      </c>
      <c r="P88" s="60">
        <f t="shared" si="53"/>
        <v>25.483333333333334</v>
      </c>
      <c r="Q88" s="92">
        <f t="shared" si="54"/>
        <v>24</v>
      </c>
      <c r="R88" s="92">
        <f t="shared" si="55"/>
        <v>5</v>
      </c>
      <c r="S88" s="92">
        <f t="shared" si="56"/>
        <v>25</v>
      </c>
      <c r="T88" s="93">
        <f t="shared" si="57"/>
        <v>0</v>
      </c>
      <c r="U88" s="93">
        <f t="shared" si="58"/>
        <v>0</v>
      </c>
      <c r="V88" s="93">
        <f t="shared" si="59"/>
        <v>0</v>
      </c>
      <c r="W88" s="60">
        <f t="shared" si="45"/>
        <v>24</v>
      </c>
      <c r="X88" s="60">
        <f t="shared" si="46"/>
        <v>5</v>
      </c>
      <c r="Y88" s="60">
        <f t="shared" si="47"/>
        <v>25</v>
      </c>
      <c r="Z88" s="94" t="str">
        <f t="shared" si="68"/>
        <v/>
      </c>
      <c r="AA88" s="95" t="str">
        <f t="shared" si="61"/>
        <v/>
      </c>
      <c r="AB88" s="84">
        <f t="shared" si="64"/>
        <v>0</v>
      </c>
      <c r="AC88" s="1310" t="str">
        <f t="shared" si="65"/>
        <v/>
      </c>
      <c r="AD88" s="85"/>
      <c r="AE88" s="45">
        <f t="shared" si="66"/>
        <v>25</v>
      </c>
      <c r="AF88" s="74">
        <f t="shared" si="67"/>
        <v>0</v>
      </c>
      <c r="AG88" s="86" t="str">
        <f t="shared" si="62"/>
        <v/>
      </c>
      <c r="AH88" s="40"/>
      <c r="AI88" s="308" t="s">
        <v>98</v>
      </c>
      <c r="AJ88" s="311">
        <f t="shared" si="69"/>
        <v>0</v>
      </c>
    </row>
    <row r="89" spans="1:36" ht="25" customHeight="1">
      <c r="A89" s="87">
        <v>84</v>
      </c>
      <c r="B89" s="750"/>
      <c r="C89" s="751"/>
      <c r="D89" s="763"/>
      <c r="E89" s="751"/>
      <c r="F89" s="751"/>
      <c r="G89" s="751"/>
      <c r="H89" s="746" t="s">
        <v>89</v>
      </c>
      <c r="I89" s="88" t="s">
        <v>157</v>
      </c>
      <c r="J89" s="467" t="str">
        <f t="shared" si="63"/>
        <v/>
      </c>
      <c r="K89" s="89">
        <f t="shared" si="48"/>
        <v>306</v>
      </c>
      <c r="L89" s="90">
        <f t="shared" si="49"/>
        <v>102</v>
      </c>
      <c r="M89" s="91">
        <f t="shared" si="50"/>
        <v>26</v>
      </c>
      <c r="N89" s="60">
        <f t="shared" si="51"/>
        <v>101.93333333333334</v>
      </c>
      <c r="O89" s="60">
        <f t="shared" si="52"/>
        <v>305.8</v>
      </c>
      <c r="P89" s="60">
        <f t="shared" si="53"/>
        <v>25.483333333333334</v>
      </c>
      <c r="Q89" s="92">
        <f t="shared" si="54"/>
        <v>24</v>
      </c>
      <c r="R89" s="92">
        <f t="shared" si="55"/>
        <v>5</v>
      </c>
      <c r="S89" s="92">
        <f t="shared" si="56"/>
        <v>25</v>
      </c>
      <c r="T89" s="93">
        <f t="shared" si="57"/>
        <v>0</v>
      </c>
      <c r="U89" s="93">
        <f t="shared" si="58"/>
        <v>0</v>
      </c>
      <c r="V89" s="93">
        <f t="shared" si="59"/>
        <v>0</v>
      </c>
      <c r="W89" s="60">
        <f t="shared" si="45"/>
        <v>24</v>
      </c>
      <c r="X89" s="60">
        <f t="shared" si="46"/>
        <v>5</v>
      </c>
      <c r="Y89" s="60">
        <f t="shared" si="47"/>
        <v>25</v>
      </c>
      <c r="Z89" s="94" t="str">
        <f t="shared" si="68"/>
        <v/>
      </c>
      <c r="AA89" s="95" t="str">
        <f t="shared" si="61"/>
        <v/>
      </c>
      <c r="AB89" s="84">
        <f t="shared" si="64"/>
        <v>0</v>
      </c>
      <c r="AC89" s="1310" t="str">
        <f t="shared" si="65"/>
        <v/>
      </c>
      <c r="AD89" s="85"/>
      <c r="AE89" s="45">
        <f t="shared" si="66"/>
        <v>25</v>
      </c>
      <c r="AF89" s="74">
        <f t="shared" si="67"/>
        <v>0</v>
      </c>
      <c r="AG89" s="86" t="str">
        <f t="shared" si="62"/>
        <v/>
      </c>
      <c r="AH89" s="40"/>
      <c r="AI89" s="308" t="s">
        <v>99</v>
      </c>
      <c r="AJ89" s="311">
        <f t="shared" si="69"/>
        <v>0</v>
      </c>
    </row>
    <row r="90" spans="1:36" ht="25" customHeight="1">
      <c r="A90" s="87">
        <v>85</v>
      </c>
      <c r="B90" s="750"/>
      <c r="C90" s="751"/>
      <c r="D90" s="763"/>
      <c r="E90" s="751"/>
      <c r="F90" s="751"/>
      <c r="G90" s="751"/>
      <c r="H90" s="746" t="s">
        <v>89</v>
      </c>
      <c r="I90" s="88" t="s">
        <v>157</v>
      </c>
      <c r="J90" s="467" t="str">
        <f t="shared" si="63"/>
        <v/>
      </c>
      <c r="K90" s="89">
        <f t="shared" si="48"/>
        <v>306</v>
      </c>
      <c r="L90" s="90">
        <f t="shared" si="49"/>
        <v>102</v>
      </c>
      <c r="M90" s="91">
        <f t="shared" si="50"/>
        <v>26</v>
      </c>
      <c r="N90" s="60">
        <f t="shared" si="51"/>
        <v>101.93333333333334</v>
      </c>
      <c r="O90" s="60">
        <f t="shared" si="52"/>
        <v>305.8</v>
      </c>
      <c r="P90" s="60">
        <f t="shared" si="53"/>
        <v>25.483333333333334</v>
      </c>
      <c r="Q90" s="92">
        <f t="shared" si="54"/>
        <v>24</v>
      </c>
      <c r="R90" s="92">
        <f t="shared" si="55"/>
        <v>5</v>
      </c>
      <c r="S90" s="92">
        <f t="shared" si="56"/>
        <v>25</v>
      </c>
      <c r="T90" s="93">
        <f t="shared" si="57"/>
        <v>0</v>
      </c>
      <c r="U90" s="93">
        <f t="shared" si="58"/>
        <v>0</v>
      </c>
      <c r="V90" s="93">
        <f t="shared" si="59"/>
        <v>0</v>
      </c>
      <c r="W90" s="60">
        <f t="shared" si="45"/>
        <v>24</v>
      </c>
      <c r="X90" s="60">
        <f t="shared" si="46"/>
        <v>5</v>
      </c>
      <c r="Y90" s="60">
        <f t="shared" si="47"/>
        <v>25</v>
      </c>
      <c r="Z90" s="94" t="str">
        <f t="shared" si="68"/>
        <v/>
      </c>
      <c r="AA90" s="95" t="str">
        <f t="shared" si="61"/>
        <v/>
      </c>
      <c r="AB90" s="84">
        <f t="shared" si="64"/>
        <v>0</v>
      </c>
      <c r="AC90" s="1310" t="str">
        <f t="shared" si="65"/>
        <v/>
      </c>
      <c r="AD90" s="85"/>
      <c r="AE90" s="45">
        <f t="shared" si="66"/>
        <v>25</v>
      </c>
      <c r="AF90" s="74">
        <f t="shared" si="67"/>
        <v>0</v>
      </c>
      <c r="AG90" s="86" t="str">
        <f t="shared" si="62"/>
        <v/>
      </c>
      <c r="AH90" s="40"/>
      <c r="AI90" s="308" t="s">
        <v>100</v>
      </c>
      <c r="AJ90" s="311">
        <f t="shared" si="69"/>
        <v>0</v>
      </c>
    </row>
    <row r="91" spans="1:36" ht="25" customHeight="1">
      <c r="A91" s="87">
        <v>86</v>
      </c>
      <c r="B91" s="760"/>
      <c r="C91" s="761"/>
      <c r="D91" s="763"/>
      <c r="E91" s="751"/>
      <c r="F91" s="751"/>
      <c r="G91" s="751"/>
      <c r="H91" s="746" t="s">
        <v>89</v>
      </c>
      <c r="I91" s="88" t="s">
        <v>157</v>
      </c>
      <c r="J91" s="467" t="str">
        <f t="shared" si="63"/>
        <v/>
      </c>
      <c r="K91" s="89">
        <f t="shared" si="48"/>
        <v>306</v>
      </c>
      <c r="L91" s="90">
        <f t="shared" si="49"/>
        <v>102</v>
      </c>
      <c r="M91" s="91">
        <f t="shared" si="50"/>
        <v>26</v>
      </c>
      <c r="N91" s="60">
        <f t="shared" si="51"/>
        <v>101.93333333333334</v>
      </c>
      <c r="O91" s="60">
        <f t="shared" si="52"/>
        <v>305.8</v>
      </c>
      <c r="P91" s="60">
        <f t="shared" si="53"/>
        <v>25.483333333333334</v>
      </c>
      <c r="Q91" s="92">
        <f t="shared" si="54"/>
        <v>24</v>
      </c>
      <c r="R91" s="92">
        <f t="shared" si="55"/>
        <v>5</v>
      </c>
      <c r="S91" s="92">
        <f t="shared" si="56"/>
        <v>25</v>
      </c>
      <c r="T91" s="93">
        <f t="shared" si="57"/>
        <v>0</v>
      </c>
      <c r="U91" s="93">
        <f t="shared" si="58"/>
        <v>0</v>
      </c>
      <c r="V91" s="93">
        <f t="shared" si="59"/>
        <v>0</v>
      </c>
      <c r="W91" s="60">
        <f t="shared" si="45"/>
        <v>24</v>
      </c>
      <c r="X91" s="60">
        <f t="shared" si="46"/>
        <v>5</v>
      </c>
      <c r="Y91" s="60">
        <f t="shared" si="47"/>
        <v>25</v>
      </c>
      <c r="Z91" s="94" t="str">
        <f t="shared" si="68"/>
        <v/>
      </c>
      <c r="AA91" s="95" t="str">
        <f t="shared" si="61"/>
        <v/>
      </c>
      <c r="AB91" s="84">
        <f t="shared" si="64"/>
        <v>0</v>
      </c>
      <c r="AC91" s="1310" t="str">
        <f t="shared" si="65"/>
        <v/>
      </c>
      <c r="AD91" s="85"/>
      <c r="AE91" s="45">
        <f t="shared" si="66"/>
        <v>25</v>
      </c>
      <c r="AF91" s="74">
        <f t="shared" si="67"/>
        <v>0</v>
      </c>
      <c r="AG91" s="86" t="str">
        <f t="shared" si="62"/>
        <v/>
      </c>
      <c r="AH91" s="40"/>
      <c r="AI91" s="308" t="s">
        <v>101</v>
      </c>
      <c r="AJ91" s="311">
        <f t="shared" si="69"/>
        <v>0</v>
      </c>
    </row>
    <row r="92" spans="1:36" ht="25" customHeight="1">
      <c r="A92" s="87">
        <v>87</v>
      </c>
      <c r="B92" s="750"/>
      <c r="C92" s="751"/>
      <c r="D92" s="764"/>
      <c r="E92" s="751"/>
      <c r="F92" s="751"/>
      <c r="G92" s="751"/>
      <c r="H92" s="746" t="s">
        <v>89</v>
      </c>
      <c r="I92" s="88" t="s">
        <v>157</v>
      </c>
      <c r="J92" s="467" t="str">
        <f t="shared" si="63"/>
        <v/>
      </c>
      <c r="K92" s="89">
        <f t="shared" si="48"/>
        <v>306</v>
      </c>
      <c r="L92" s="90">
        <f t="shared" si="49"/>
        <v>102</v>
      </c>
      <c r="M92" s="91">
        <f t="shared" si="50"/>
        <v>26</v>
      </c>
      <c r="N92" s="60">
        <f t="shared" si="51"/>
        <v>101.93333333333334</v>
      </c>
      <c r="O92" s="60">
        <f t="shared" si="52"/>
        <v>305.8</v>
      </c>
      <c r="P92" s="60">
        <f t="shared" si="53"/>
        <v>25.483333333333334</v>
      </c>
      <c r="Q92" s="92">
        <f t="shared" si="54"/>
        <v>24</v>
      </c>
      <c r="R92" s="92">
        <f t="shared" si="55"/>
        <v>5</v>
      </c>
      <c r="S92" s="92">
        <f t="shared" si="56"/>
        <v>25</v>
      </c>
      <c r="T92" s="93">
        <f t="shared" si="57"/>
        <v>0</v>
      </c>
      <c r="U92" s="93">
        <f t="shared" si="58"/>
        <v>0</v>
      </c>
      <c r="V92" s="93">
        <f t="shared" si="59"/>
        <v>0</v>
      </c>
      <c r="W92" s="60">
        <f t="shared" si="45"/>
        <v>24</v>
      </c>
      <c r="X92" s="60">
        <f t="shared" si="46"/>
        <v>5</v>
      </c>
      <c r="Y92" s="60">
        <f t="shared" si="47"/>
        <v>25</v>
      </c>
      <c r="Z92" s="94" t="str">
        <f t="shared" si="68"/>
        <v/>
      </c>
      <c r="AA92" s="95" t="str">
        <f t="shared" si="61"/>
        <v/>
      </c>
      <c r="AB92" s="84">
        <f t="shared" si="64"/>
        <v>0</v>
      </c>
      <c r="AC92" s="1310" t="str">
        <f t="shared" si="65"/>
        <v/>
      </c>
      <c r="AD92" s="85"/>
      <c r="AE92" s="45">
        <f t="shared" si="66"/>
        <v>25</v>
      </c>
      <c r="AF92" s="74">
        <f t="shared" si="67"/>
        <v>0</v>
      </c>
      <c r="AG92" s="86" t="str">
        <f t="shared" si="62"/>
        <v/>
      </c>
      <c r="AH92" s="40"/>
      <c r="AI92" s="308" t="s">
        <v>102</v>
      </c>
      <c r="AJ92" s="311">
        <f t="shared" si="69"/>
        <v>0</v>
      </c>
    </row>
    <row r="93" spans="1:36" ht="25" customHeight="1">
      <c r="A93" s="87">
        <v>88</v>
      </c>
      <c r="B93" s="760"/>
      <c r="C93" s="761"/>
      <c r="D93" s="759"/>
      <c r="E93" s="751"/>
      <c r="F93" s="751"/>
      <c r="G93" s="751"/>
      <c r="H93" s="746" t="s">
        <v>89</v>
      </c>
      <c r="I93" s="88" t="s">
        <v>157</v>
      </c>
      <c r="J93" s="467" t="str">
        <f t="shared" si="63"/>
        <v/>
      </c>
      <c r="K93" s="89">
        <f t="shared" si="48"/>
        <v>306</v>
      </c>
      <c r="L93" s="90">
        <f t="shared" si="49"/>
        <v>102</v>
      </c>
      <c r="M93" s="91">
        <f t="shared" si="50"/>
        <v>26</v>
      </c>
      <c r="N93" s="60">
        <f t="shared" si="51"/>
        <v>101.93333333333334</v>
      </c>
      <c r="O93" s="60">
        <f t="shared" si="52"/>
        <v>305.8</v>
      </c>
      <c r="P93" s="60">
        <f t="shared" si="53"/>
        <v>25.483333333333334</v>
      </c>
      <c r="Q93" s="92">
        <f t="shared" si="54"/>
        <v>24</v>
      </c>
      <c r="R93" s="92">
        <f t="shared" si="55"/>
        <v>5</v>
      </c>
      <c r="S93" s="92">
        <f t="shared" si="56"/>
        <v>25</v>
      </c>
      <c r="T93" s="93">
        <f t="shared" si="57"/>
        <v>0</v>
      </c>
      <c r="U93" s="93">
        <f t="shared" si="58"/>
        <v>0</v>
      </c>
      <c r="V93" s="93">
        <f t="shared" si="59"/>
        <v>0</v>
      </c>
      <c r="W93" s="60">
        <f t="shared" si="45"/>
        <v>24</v>
      </c>
      <c r="X93" s="60">
        <f t="shared" si="46"/>
        <v>5</v>
      </c>
      <c r="Y93" s="60">
        <f t="shared" si="47"/>
        <v>25</v>
      </c>
      <c r="Z93" s="94" t="str">
        <f t="shared" si="68"/>
        <v/>
      </c>
      <c r="AA93" s="95" t="str">
        <f t="shared" si="61"/>
        <v/>
      </c>
      <c r="AB93" s="84">
        <f t="shared" si="64"/>
        <v>0</v>
      </c>
      <c r="AC93" s="1310" t="str">
        <f t="shared" si="65"/>
        <v/>
      </c>
      <c r="AD93" s="85"/>
      <c r="AE93" s="45">
        <f t="shared" si="66"/>
        <v>25</v>
      </c>
      <c r="AF93" s="74">
        <f t="shared" si="67"/>
        <v>0</v>
      </c>
      <c r="AG93" s="86" t="str">
        <f t="shared" si="62"/>
        <v/>
      </c>
      <c r="AH93" s="40"/>
      <c r="AI93" s="308" t="s">
        <v>103</v>
      </c>
      <c r="AJ93" s="311">
        <f t="shared" si="69"/>
        <v>0</v>
      </c>
    </row>
    <row r="94" spans="1:36" ht="25" customHeight="1">
      <c r="A94" s="87">
        <v>89</v>
      </c>
      <c r="B94" s="760"/>
      <c r="C94" s="761"/>
      <c r="D94" s="758"/>
      <c r="E94" s="751"/>
      <c r="F94" s="751"/>
      <c r="G94" s="751"/>
      <c r="H94" s="746" t="s">
        <v>89</v>
      </c>
      <c r="I94" s="88" t="s">
        <v>157</v>
      </c>
      <c r="J94" s="467" t="str">
        <f t="shared" si="63"/>
        <v/>
      </c>
      <c r="K94" s="89">
        <f t="shared" si="48"/>
        <v>306</v>
      </c>
      <c r="L94" s="90">
        <f t="shared" si="49"/>
        <v>102</v>
      </c>
      <c r="M94" s="91">
        <f t="shared" si="50"/>
        <v>26</v>
      </c>
      <c r="N94" s="60">
        <f t="shared" si="51"/>
        <v>101.93333333333334</v>
      </c>
      <c r="O94" s="60">
        <f t="shared" si="52"/>
        <v>305.8</v>
      </c>
      <c r="P94" s="60">
        <f t="shared" si="53"/>
        <v>25.483333333333334</v>
      </c>
      <c r="Q94" s="92">
        <f t="shared" si="54"/>
        <v>24</v>
      </c>
      <c r="R94" s="92">
        <f t="shared" si="55"/>
        <v>5</v>
      </c>
      <c r="S94" s="92">
        <f t="shared" si="56"/>
        <v>25</v>
      </c>
      <c r="T94" s="93">
        <f t="shared" si="57"/>
        <v>0</v>
      </c>
      <c r="U94" s="93">
        <f t="shared" si="58"/>
        <v>0</v>
      </c>
      <c r="V94" s="93">
        <f t="shared" si="59"/>
        <v>0</v>
      </c>
      <c r="W94" s="60">
        <f t="shared" si="45"/>
        <v>24</v>
      </c>
      <c r="X94" s="60">
        <f t="shared" si="46"/>
        <v>5</v>
      </c>
      <c r="Y94" s="60">
        <f t="shared" si="47"/>
        <v>25</v>
      </c>
      <c r="Z94" s="94" t="str">
        <f t="shared" si="68"/>
        <v/>
      </c>
      <c r="AA94" s="95" t="str">
        <f t="shared" si="61"/>
        <v/>
      </c>
      <c r="AB94" s="84">
        <f t="shared" si="64"/>
        <v>0</v>
      </c>
      <c r="AC94" s="1310" t="str">
        <f t="shared" si="65"/>
        <v/>
      </c>
      <c r="AD94" s="85"/>
      <c r="AE94" s="45">
        <f t="shared" si="66"/>
        <v>25</v>
      </c>
      <c r="AF94" s="74">
        <f t="shared" si="67"/>
        <v>0</v>
      </c>
      <c r="AG94" s="86" t="str">
        <f t="shared" si="62"/>
        <v/>
      </c>
      <c r="AH94" s="40"/>
      <c r="AI94" s="308" t="s">
        <v>107</v>
      </c>
      <c r="AJ94" s="311">
        <f t="shared" si="69"/>
        <v>0</v>
      </c>
    </row>
    <row r="95" spans="1:36" ht="25" customHeight="1">
      <c r="A95" s="87">
        <v>90</v>
      </c>
      <c r="B95" s="750"/>
      <c r="C95" s="751"/>
      <c r="D95" s="757"/>
      <c r="E95" s="751"/>
      <c r="F95" s="751"/>
      <c r="G95" s="751"/>
      <c r="H95" s="746" t="s">
        <v>89</v>
      </c>
      <c r="I95" s="88" t="s">
        <v>157</v>
      </c>
      <c r="J95" s="467" t="str">
        <f t="shared" si="63"/>
        <v/>
      </c>
      <c r="K95" s="89">
        <f t="shared" si="48"/>
        <v>306</v>
      </c>
      <c r="L95" s="90">
        <f t="shared" si="49"/>
        <v>102</v>
      </c>
      <c r="M95" s="91">
        <f t="shared" si="50"/>
        <v>26</v>
      </c>
      <c r="N95" s="60">
        <f t="shared" si="51"/>
        <v>101.93333333333334</v>
      </c>
      <c r="O95" s="60">
        <f t="shared" si="52"/>
        <v>305.8</v>
      </c>
      <c r="P95" s="60">
        <f t="shared" si="53"/>
        <v>25.483333333333334</v>
      </c>
      <c r="Q95" s="92">
        <f t="shared" si="54"/>
        <v>24</v>
      </c>
      <c r="R95" s="92">
        <f t="shared" si="55"/>
        <v>5</v>
      </c>
      <c r="S95" s="92">
        <f t="shared" si="56"/>
        <v>25</v>
      </c>
      <c r="T95" s="93">
        <f t="shared" si="57"/>
        <v>0</v>
      </c>
      <c r="U95" s="93">
        <f t="shared" si="58"/>
        <v>0</v>
      </c>
      <c r="V95" s="93">
        <f t="shared" si="59"/>
        <v>0</v>
      </c>
      <c r="W95" s="60">
        <f t="shared" si="45"/>
        <v>24</v>
      </c>
      <c r="X95" s="60">
        <f t="shared" si="46"/>
        <v>5</v>
      </c>
      <c r="Y95" s="60">
        <f t="shared" si="47"/>
        <v>25</v>
      </c>
      <c r="Z95" s="94" t="str">
        <f t="shared" si="68"/>
        <v/>
      </c>
      <c r="AA95" s="95" t="str">
        <f t="shared" si="61"/>
        <v/>
      </c>
      <c r="AB95" s="84">
        <f t="shared" si="64"/>
        <v>0</v>
      </c>
      <c r="AC95" s="1310" t="str">
        <f t="shared" si="65"/>
        <v/>
      </c>
      <c r="AD95" s="85"/>
      <c r="AE95" s="45">
        <f t="shared" si="66"/>
        <v>25</v>
      </c>
      <c r="AF95" s="74">
        <f t="shared" si="67"/>
        <v>0</v>
      </c>
      <c r="AG95" s="86" t="str">
        <f t="shared" si="62"/>
        <v/>
      </c>
      <c r="AH95" s="40"/>
      <c r="AI95" s="308" t="s">
        <v>108</v>
      </c>
      <c r="AJ95" s="311">
        <f t="shared" si="69"/>
        <v>0</v>
      </c>
    </row>
    <row r="96" spans="1:36" ht="25" customHeight="1">
      <c r="A96" s="87">
        <v>91</v>
      </c>
      <c r="B96" s="760"/>
      <c r="C96" s="761"/>
      <c r="D96" s="752"/>
      <c r="E96" s="751"/>
      <c r="F96" s="751"/>
      <c r="G96" s="751"/>
      <c r="H96" s="746" t="s">
        <v>89</v>
      </c>
      <c r="I96" s="88" t="s">
        <v>157</v>
      </c>
      <c r="J96" s="467" t="str">
        <f t="shared" si="63"/>
        <v/>
      </c>
      <c r="K96" s="89">
        <f t="shared" si="48"/>
        <v>306</v>
      </c>
      <c r="L96" s="90">
        <f t="shared" si="49"/>
        <v>102</v>
      </c>
      <c r="M96" s="91">
        <f t="shared" si="50"/>
        <v>26</v>
      </c>
      <c r="N96" s="60">
        <f t="shared" si="51"/>
        <v>101.93333333333334</v>
      </c>
      <c r="O96" s="60">
        <f t="shared" si="52"/>
        <v>305.8</v>
      </c>
      <c r="P96" s="60">
        <f t="shared" si="53"/>
        <v>25.483333333333334</v>
      </c>
      <c r="Q96" s="92">
        <f t="shared" si="54"/>
        <v>24</v>
      </c>
      <c r="R96" s="92">
        <f t="shared" si="55"/>
        <v>5</v>
      </c>
      <c r="S96" s="92">
        <f t="shared" si="56"/>
        <v>25</v>
      </c>
      <c r="T96" s="93">
        <f t="shared" si="57"/>
        <v>0</v>
      </c>
      <c r="U96" s="93">
        <f t="shared" si="58"/>
        <v>0</v>
      </c>
      <c r="V96" s="93">
        <f t="shared" si="59"/>
        <v>0</v>
      </c>
      <c r="W96" s="60">
        <f t="shared" si="45"/>
        <v>24</v>
      </c>
      <c r="X96" s="60">
        <f t="shared" si="46"/>
        <v>5</v>
      </c>
      <c r="Y96" s="60">
        <f t="shared" si="47"/>
        <v>25</v>
      </c>
      <c r="Z96" s="94" t="str">
        <f t="shared" si="68"/>
        <v/>
      </c>
      <c r="AA96" s="95" t="str">
        <f t="shared" si="61"/>
        <v/>
      </c>
      <c r="AB96" s="84">
        <f t="shared" si="64"/>
        <v>0</v>
      </c>
      <c r="AC96" s="1310" t="str">
        <f t="shared" si="65"/>
        <v/>
      </c>
      <c r="AD96" s="85"/>
      <c r="AE96" s="45">
        <f t="shared" si="66"/>
        <v>25</v>
      </c>
      <c r="AF96" s="74">
        <f t="shared" si="67"/>
        <v>0</v>
      </c>
      <c r="AG96" s="86" t="str">
        <f t="shared" si="62"/>
        <v/>
      </c>
      <c r="AH96" s="40"/>
      <c r="AI96" s="308" t="s">
        <v>109</v>
      </c>
      <c r="AJ96" s="311">
        <f t="shared" si="69"/>
        <v>0</v>
      </c>
    </row>
    <row r="97" spans="1:36" ht="25" customHeight="1">
      <c r="A97" s="87">
        <v>92</v>
      </c>
      <c r="B97" s="762"/>
      <c r="C97" s="751"/>
      <c r="D97" s="763"/>
      <c r="E97" s="751"/>
      <c r="F97" s="751"/>
      <c r="G97" s="751"/>
      <c r="H97" s="746" t="s">
        <v>89</v>
      </c>
      <c r="I97" s="88" t="s">
        <v>157</v>
      </c>
      <c r="J97" s="467" t="str">
        <f t="shared" si="63"/>
        <v/>
      </c>
      <c r="K97" s="89">
        <f t="shared" si="48"/>
        <v>306</v>
      </c>
      <c r="L97" s="90">
        <f t="shared" si="49"/>
        <v>102</v>
      </c>
      <c r="M97" s="91">
        <f t="shared" si="50"/>
        <v>26</v>
      </c>
      <c r="N97" s="60">
        <f t="shared" si="51"/>
        <v>101.93333333333334</v>
      </c>
      <c r="O97" s="60">
        <f t="shared" si="52"/>
        <v>305.8</v>
      </c>
      <c r="P97" s="60">
        <f t="shared" si="53"/>
        <v>25.483333333333334</v>
      </c>
      <c r="Q97" s="92">
        <f t="shared" si="54"/>
        <v>24</v>
      </c>
      <c r="R97" s="92">
        <f t="shared" si="55"/>
        <v>5</v>
      </c>
      <c r="S97" s="92">
        <f t="shared" si="56"/>
        <v>25</v>
      </c>
      <c r="T97" s="93">
        <f t="shared" si="57"/>
        <v>0</v>
      </c>
      <c r="U97" s="93">
        <f t="shared" si="58"/>
        <v>0</v>
      </c>
      <c r="V97" s="93">
        <f t="shared" si="59"/>
        <v>0</v>
      </c>
      <c r="W97" s="60">
        <f t="shared" si="45"/>
        <v>24</v>
      </c>
      <c r="X97" s="60">
        <f t="shared" si="46"/>
        <v>5</v>
      </c>
      <c r="Y97" s="60">
        <f t="shared" si="47"/>
        <v>25</v>
      </c>
      <c r="Z97" s="94" t="str">
        <f t="shared" si="68"/>
        <v/>
      </c>
      <c r="AA97" s="95" t="str">
        <f t="shared" si="61"/>
        <v/>
      </c>
      <c r="AB97" s="84">
        <f t="shared" si="64"/>
        <v>0</v>
      </c>
      <c r="AC97" s="1310" t="str">
        <f t="shared" si="65"/>
        <v/>
      </c>
      <c r="AD97" s="85"/>
      <c r="AE97" s="45">
        <f t="shared" si="66"/>
        <v>25</v>
      </c>
      <c r="AF97" s="74">
        <f t="shared" si="67"/>
        <v>0</v>
      </c>
      <c r="AG97" s="86" t="str">
        <f t="shared" si="62"/>
        <v/>
      </c>
      <c r="AH97" s="40"/>
      <c r="AI97" s="308" t="s">
        <v>110</v>
      </c>
      <c r="AJ97" s="311">
        <f t="shared" si="69"/>
        <v>0</v>
      </c>
    </row>
    <row r="98" spans="1:36" ht="25" customHeight="1">
      <c r="A98" s="87">
        <v>93</v>
      </c>
      <c r="B98" s="762"/>
      <c r="C98" s="751"/>
      <c r="D98" s="757"/>
      <c r="E98" s="751"/>
      <c r="F98" s="751"/>
      <c r="G98" s="751"/>
      <c r="H98" s="746" t="s">
        <v>89</v>
      </c>
      <c r="I98" s="88" t="s">
        <v>157</v>
      </c>
      <c r="J98" s="467" t="str">
        <f t="shared" si="63"/>
        <v/>
      </c>
      <c r="K98" s="89">
        <f t="shared" si="48"/>
        <v>306</v>
      </c>
      <c r="L98" s="90">
        <f t="shared" si="49"/>
        <v>102</v>
      </c>
      <c r="M98" s="91">
        <f t="shared" si="50"/>
        <v>26</v>
      </c>
      <c r="N98" s="60">
        <f t="shared" si="51"/>
        <v>101.93333333333334</v>
      </c>
      <c r="O98" s="60">
        <f t="shared" si="52"/>
        <v>305.8</v>
      </c>
      <c r="P98" s="60">
        <f t="shared" si="53"/>
        <v>25.483333333333334</v>
      </c>
      <c r="Q98" s="92">
        <f t="shared" si="54"/>
        <v>24</v>
      </c>
      <c r="R98" s="92">
        <f t="shared" si="55"/>
        <v>5</v>
      </c>
      <c r="S98" s="92">
        <f t="shared" si="56"/>
        <v>25</v>
      </c>
      <c r="T98" s="93">
        <f t="shared" si="57"/>
        <v>0</v>
      </c>
      <c r="U98" s="93">
        <f t="shared" si="58"/>
        <v>0</v>
      </c>
      <c r="V98" s="93">
        <f t="shared" si="59"/>
        <v>0</v>
      </c>
      <c r="W98" s="60">
        <f t="shared" si="45"/>
        <v>24</v>
      </c>
      <c r="X98" s="60">
        <f t="shared" si="46"/>
        <v>5</v>
      </c>
      <c r="Y98" s="60">
        <f t="shared" si="47"/>
        <v>25</v>
      </c>
      <c r="Z98" s="94" t="str">
        <f t="shared" si="68"/>
        <v/>
      </c>
      <c r="AA98" s="95" t="str">
        <f t="shared" si="61"/>
        <v/>
      </c>
      <c r="AB98" s="84">
        <f t="shared" si="64"/>
        <v>0</v>
      </c>
      <c r="AC98" s="1310" t="str">
        <f t="shared" si="65"/>
        <v/>
      </c>
      <c r="AD98" s="85"/>
      <c r="AE98" s="45">
        <f t="shared" si="66"/>
        <v>25</v>
      </c>
      <c r="AF98" s="74">
        <f t="shared" si="67"/>
        <v>0</v>
      </c>
      <c r="AG98" s="86" t="str">
        <f t="shared" si="62"/>
        <v/>
      </c>
      <c r="AH98" s="40"/>
      <c r="AI98" s="308" t="s">
        <v>103</v>
      </c>
      <c r="AJ98" s="311">
        <f t="shared" si="69"/>
        <v>0</v>
      </c>
    </row>
    <row r="99" spans="1:36" ht="23" customHeight="1">
      <c r="A99" s="87">
        <v>94</v>
      </c>
      <c r="B99" s="750"/>
      <c r="C99" s="751"/>
      <c r="D99" s="763"/>
      <c r="E99" s="751"/>
      <c r="F99" s="751"/>
      <c r="G99" s="751"/>
      <c r="H99" s="746" t="s">
        <v>89</v>
      </c>
      <c r="I99" s="88" t="s">
        <v>157</v>
      </c>
      <c r="J99" s="467" t="str">
        <f t="shared" si="63"/>
        <v/>
      </c>
      <c r="K99" s="89">
        <f t="shared" si="48"/>
        <v>306</v>
      </c>
      <c r="L99" s="90">
        <f t="shared" si="49"/>
        <v>102</v>
      </c>
      <c r="M99" s="91">
        <f t="shared" si="50"/>
        <v>26</v>
      </c>
      <c r="N99" s="60">
        <f t="shared" si="51"/>
        <v>101.93333333333334</v>
      </c>
      <c r="O99" s="60">
        <f t="shared" si="52"/>
        <v>305.8</v>
      </c>
      <c r="P99" s="60">
        <f t="shared" si="53"/>
        <v>25.483333333333334</v>
      </c>
      <c r="Q99" s="92">
        <f t="shared" si="54"/>
        <v>24</v>
      </c>
      <c r="R99" s="92">
        <f t="shared" si="55"/>
        <v>5</v>
      </c>
      <c r="S99" s="92">
        <f t="shared" si="56"/>
        <v>25</v>
      </c>
      <c r="T99" s="93">
        <f t="shared" si="57"/>
        <v>0</v>
      </c>
      <c r="U99" s="93">
        <f t="shared" si="58"/>
        <v>0</v>
      </c>
      <c r="V99" s="93">
        <f t="shared" si="59"/>
        <v>0</v>
      </c>
      <c r="W99" s="60">
        <f t="shared" si="45"/>
        <v>24</v>
      </c>
      <c r="X99" s="60">
        <f t="shared" si="46"/>
        <v>5</v>
      </c>
      <c r="Y99" s="60">
        <f t="shared" si="47"/>
        <v>25</v>
      </c>
      <c r="Z99" s="94" t="str">
        <f t="shared" si="68"/>
        <v/>
      </c>
      <c r="AA99" s="95" t="str">
        <f t="shared" si="61"/>
        <v/>
      </c>
      <c r="AB99" s="84">
        <f t="shared" si="64"/>
        <v>0</v>
      </c>
      <c r="AC99" s="1310" t="str">
        <f t="shared" si="65"/>
        <v/>
      </c>
      <c r="AD99" s="85"/>
      <c r="AE99" s="45">
        <f t="shared" si="66"/>
        <v>25</v>
      </c>
      <c r="AF99" s="74">
        <f t="shared" si="67"/>
        <v>0</v>
      </c>
      <c r="AG99" s="86" t="str">
        <f t="shared" si="62"/>
        <v/>
      </c>
      <c r="AH99" s="40"/>
      <c r="AI99" s="308" t="s">
        <v>109</v>
      </c>
      <c r="AJ99" s="311">
        <f t="shared" si="69"/>
        <v>0</v>
      </c>
    </row>
    <row r="100" spans="1:36" ht="24" customHeight="1">
      <c r="A100" s="87">
        <v>95</v>
      </c>
      <c r="B100" s="750"/>
      <c r="C100" s="751"/>
      <c r="D100" s="763"/>
      <c r="E100" s="751"/>
      <c r="F100" s="751"/>
      <c r="G100" s="751"/>
      <c r="H100" s="746" t="s">
        <v>89</v>
      </c>
      <c r="I100" s="88" t="s">
        <v>157</v>
      </c>
      <c r="J100" s="467" t="str">
        <f t="shared" si="63"/>
        <v/>
      </c>
      <c r="K100" s="89">
        <f t="shared" si="48"/>
        <v>306</v>
      </c>
      <c r="L100" s="90">
        <f t="shared" si="49"/>
        <v>102</v>
      </c>
      <c r="M100" s="91">
        <f t="shared" si="50"/>
        <v>26</v>
      </c>
      <c r="N100" s="60">
        <f t="shared" si="51"/>
        <v>101.93333333333334</v>
      </c>
      <c r="O100" s="60">
        <f t="shared" si="52"/>
        <v>305.8</v>
      </c>
      <c r="P100" s="60">
        <f t="shared" si="53"/>
        <v>25.483333333333334</v>
      </c>
      <c r="Q100" s="92">
        <f t="shared" si="54"/>
        <v>24</v>
      </c>
      <c r="R100" s="92">
        <f t="shared" si="55"/>
        <v>5</v>
      </c>
      <c r="S100" s="92">
        <f t="shared" si="56"/>
        <v>25</v>
      </c>
      <c r="T100" s="93">
        <f t="shared" si="57"/>
        <v>0</v>
      </c>
      <c r="U100" s="93">
        <f t="shared" si="58"/>
        <v>0</v>
      </c>
      <c r="V100" s="93">
        <f t="shared" si="59"/>
        <v>0</v>
      </c>
      <c r="W100" s="60">
        <f t="shared" si="45"/>
        <v>24</v>
      </c>
      <c r="X100" s="60">
        <f t="shared" si="46"/>
        <v>5</v>
      </c>
      <c r="Y100" s="60">
        <f t="shared" si="47"/>
        <v>25</v>
      </c>
      <c r="Z100" s="94" t="str">
        <f t="shared" si="68"/>
        <v/>
      </c>
      <c r="AA100" s="95" t="str">
        <f t="shared" si="61"/>
        <v/>
      </c>
      <c r="AB100" s="84">
        <f t="shared" si="64"/>
        <v>0</v>
      </c>
      <c r="AC100" s="1310" t="str">
        <f t="shared" si="65"/>
        <v/>
      </c>
      <c r="AD100" s="85"/>
      <c r="AE100" s="45">
        <f t="shared" si="66"/>
        <v>25</v>
      </c>
      <c r="AF100" s="74">
        <f t="shared" si="67"/>
        <v>0</v>
      </c>
      <c r="AG100" s="86" t="str">
        <f t="shared" si="62"/>
        <v/>
      </c>
      <c r="AH100" s="40"/>
      <c r="AI100" s="308" t="s">
        <v>110</v>
      </c>
      <c r="AJ100" s="311">
        <f t="shared" si="69"/>
        <v>0</v>
      </c>
    </row>
    <row r="101" spans="1:36" ht="24" customHeight="1">
      <c r="A101" s="87">
        <v>96</v>
      </c>
      <c r="B101" s="760"/>
      <c r="C101" s="761"/>
      <c r="D101" s="763"/>
      <c r="E101" s="751"/>
      <c r="F101" s="751"/>
      <c r="G101" s="751"/>
      <c r="H101" s="746" t="s">
        <v>89</v>
      </c>
      <c r="I101" s="88" t="s">
        <v>157</v>
      </c>
      <c r="J101" s="467" t="str">
        <f t="shared" si="63"/>
        <v/>
      </c>
      <c r="K101" s="89">
        <f t="shared" si="48"/>
        <v>306</v>
      </c>
      <c r="L101" s="90">
        <f t="shared" si="49"/>
        <v>102</v>
      </c>
      <c r="M101" s="91">
        <f t="shared" si="50"/>
        <v>26</v>
      </c>
      <c r="N101" s="60">
        <f t="shared" si="51"/>
        <v>101.93333333333334</v>
      </c>
      <c r="O101" s="60">
        <f t="shared" si="52"/>
        <v>305.8</v>
      </c>
      <c r="P101" s="60">
        <f t="shared" si="53"/>
        <v>25.483333333333334</v>
      </c>
      <c r="Q101" s="92">
        <f t="shared" si="54"/>
        <v>24</v>
      </c>
      <c r="R101" s="92">
        <f t="shared" si="55"/>
        <v>5</v>
      </c>
      <c r="S101" s="92">
        <f t="shared" si="56"/>
        <v>25</v>
      </c>
      <c r="T101" s="93">
        <f t="shared" si="57"/>
        <v>0</v>
      </c>
      <c r="U101" s="93">
        <f t="shared" si="58"/>
        <v>0</v>
      </c>
      <c r="V101" s="93">
        <f t="shared" si="59"/>
        <v>0</v>
      </c>
      <c r="W101" s="60">
        <f t="shared" si="45"/>
        <v>24</v>
      </c>
      <c r="X101" s="60">
        <f t="shared" si="46"/>
        <v>5</v>
      </c>
      <c r="Y101" s="60">
        <f t="shared" si="47"/>
        <v>25</v>
      </c>
      <c r="Z101" s="94" t="str">
        <f t="shared" si="68"/>
        <v/>
      </c>
      <c r="AA101" s="95" t="str">
        <f t="shared" si="61"/>
        <v/>
      </c>
      <c r="AB101" s="84">
        <f t="shared" si="64"/>
        <v>0</v>
      </c>
      <c r="AC101" s="1310" t="str">
        <f t="shared" si="65"/>
        <v/>
      </c>
      <c r="AD101" s="85"/>
      <c r="AE101" s="45">
        <f t="shared" si="66"/>
        <v>25</v>
      </c>
      <c r="AF101" s="74">
        <f t="shared" si="67"/>
        <v>0</v>
      </c>
      <c r="AG101" s="86" t="str">
        <f t="shared" si="62"/>
        <v/>
      </c>
      <c r="AH101" s="40"/>
      <c r="AI101" s="308" t="s">
        <v>103</v>
      </c>
      <c r="AJ101" s="311">
        <f t="shared" si="69"/>
        <v>0</v>
      </c>
    </row>
    <row r="102" spans="1:36" ht="24" customHeight="1">
      <c r="A102" s="87">
        <v>97</v>
      </c>
      <c r="B102" s="750"/>
      <c r="C102" s="751"/>
      <c r="D102" s="764"/>
      <c r="E102" s="751"/>
      <c r="F102" s="751"/>
      <c r="G102" s="751"/>
      <c r="H102" s="746" t="s">
        <v>89</v>
      </c>
      <c r="I102" s="88" t="s">
        <v>157</v>
      </c>
      <c r="J102" s="467" t="str">
        <f t="shared" si="63"/>
        <v/>
      </c>
      <c r="K102" s="89">
        <f t="shared" si="48"/>
        <v>306</v>
      </c>
      <c r="L102" s="90">
        <f t="shared" si="49"/>
        <v>102</v>
      </c>
      <c r="M102" s="91">
        <f t="shared" si="50"/>
        <v>26</v>
      </c>
      <c r="N102" s="60">
        <f t="shared" ref="N102:N104" si="70">O102/3</f>
        <v>101.93333333333334</v>
      </c>
      <c r="O102" s="60">
        <f t="shared" si="52"/>
        <v>305.8</v>
      </c>
      <c r="P102" s="60">
        <f t="shared" ref="P102:P104" si="71">O102/12</f>
        <v>25.483333333333334</v>
      </c>
      <c r="Q102" s="92">
        <f t="shared" si="54"/>
        <v>24</v>
      </c>
      <c r="R102" s="92">
        <f t="shared" si="55"/>
        <v>5</v>
      </c>
      <c r="S102" s="92">
        <f t="shared" si="56"/>
        <v>25</v>
      </c>
      <c r="T102" s="93">
        <f t="shared" si="57"/>
        <v>0</v>
      </c>
      <c r="U102" s="93">
        <f t="shared" si="58"/>
        <v>0</v>
      </c>
      <c r="V102" s="93">
        <f t="shared" si="59"/>
        <v>0</v>
      </c>
      <c r="W102" s="60">
        <f t="shared" si="45"/>
        <v>24</v>
      </c>
      <c r="X102" s="60">
        <f t="shared" si="46"/>
        <v>5</v>
      </c>
      <c r="Y102" s="60">
        <f t="shared" si="47"/>
        <v>25</v>
      </c>
      <c r="Z102" s="94" t="str">
        <f t="shared" si="68"/>
        <v/>
      </c>
      <c r="AA102" s="95" t="str">
        <f t="shared" si="61"/>
        <v/>
      </c>
      <c r="AB102" s="84">
        <f t="shared" si="64"/>
        <v>0</v>
      </c>
      <c r="AC102" s="1310" t="str">
        <f t="shared" si="65"/>
        <v/>
      </c>
      <c r="AD102" s="85"/>
      <c r="AE102" s="45">
        <f t="shared" si="66"/>
        <v>25</v>
      </c>
      <c r="AF102" s="74">
        <f t="shared" si="67"/>
        <v>0</v>
      </c>
      <c r="AG102" s="86" t="str">
        <f t="shared" si="62"/>
        <v/>
      </c>
      <c r="AH102" s="40"/>
      <c r="AI102" s="308" t="s">
        <v>109</v>
      </c>
      <c r="AJ102" s="311">
        <f t="shared" si="69"/>
        <v>0</v>
      </c>
    </row>
    <row r="103" spans="1:36" ht="24" customHeight="1">
      <c r="A103" s="87">
        <v>98</v>
      </c>
      <c r="B103" s="760"/>
      <c r="C103" s="761"/>
      <c r="D103" s="759"/>
      <c r="E103" s="751"/>
      <c r="F103" s="751"/>
      <c r="G103" s="751"/>
      <c r="H103" s="746" t="s">
        <v>89</v>
      </c>
      <c r="I103" s="88" t="s">
        <v>157</v>
      </c>
      <c r="J103" s="467" t="str">
        <f t="shared" si="63"/>
        <v/>
      </c>
      <c r="K103" s="89">
        <f t="shared" si="48"/>
        <v>306</v>
      </c>
      <c r="L103" s="90">
        <f t="shared" si="49"/>
        <v>102</v>
      </c>
      <c r="M103" s="91">
        <f t="shared" si="50"/>
        <v>26</v>
      </c>
      <c r="N103" s="60">
        <f t="shared" si="70"/>
        <v>101.93333333333334</v>
      </c>
      <c r="O103" s="60">
        <f t="shared" si="52"/>
        <v>305.8</v>
      </c>
      <c r="P103" s="60">
        <f t="shared" si="71"/>
        <v>25.483333333333334</v>
      </c>
      <c r="Q103" s="92">
        <f t="shared" si="54"/>
        <v>24</v>
      </c>
      <c r="R103" s="92">
        <f t="shared" si="55"/>
        <v>5</v>
      </c>
      <c r="S103" s="92">
        <f t="shared" si="56"/>
        <v>25</v>
      </c>
      <c r="T103" s="93">
        <f t="shared" si="57"/>
        <v>0</v>
      </c>
      <c r="U103" s="93">
        <f t="shared" si="58"/>
        <v>0</v>
      </c>
      <c r="V103" s="93">
        <f t="shared" si="59"/>
        <v>0</v>
      </c>
      <c r="W103" s="60">
        <f t="shared" si="45"/>
        <v>24</v>
      </c>
      <c r="X103" s="60">
        <f t="shared" si="46"/>
        <v>5</v>
      </c>
      <c r="Y103" s="60">
        <f t="shared" si="47"/>
        <v>25</v>
      </c>
      <c r="Z103" s="94" t="str">
        <f t="shared" si="68"/>
        <v/>
      </c>
      <c r="AA103" s="95" t="str">
        <f t="shared" si="61"/>
        <v/>
      </c>
      <c r="AB103" s="84">
        <f t="shared" si="64"/>
        <v>0</v>
      </c>
      <c r="AC103" s="1310" t="str">
        <f t="shared" si="65"/>
        <v/>
      </c>
      <c r="AD103" s="85"/>
      <c r="AE103" s="45">
        <f t="shared" si="66"/>
        <v>25</v>
      </c>
      <c r="AF103" s="74">
        <f t="shared" si="67"/>
        <v>0</v>
      </c>
      <c r="AG103" s="86" t="str">
        <f t="shared" si="62"/>
        <v/>
      </c>
      <c r="AH103" s="40"/>
      <c r="AI103" s="308" t="s">
        <v>110</v>
      </c>
      <c r="AJ103" s="311">
        <f t="shared" si="69"/>
        <v>0</v>
      </c>
    </row>
    <row r="104" spans="1:36" ht="25" customHeight="1">
      <c r="A104" s="96">
        <v>99</v>
      </c>
      <c r="B104" s="760"/>
      <c r="C104" s="761"/>
      <c r="D104" s="758"/>
      <c r="E104" s="751"/>
      <c r="F104" s="751"/>
      <c r="G104" s="751"/>
      <c r="H104" s="746" t="s">
        <v>89</v>
      </c>
      <c r="I104" s="88" t="s">
        <v>157</v>
      </c>
      <c r="J104" s="467" t="str">
        <f t="shared" si="63"/>
        <v/>
      </c>
      <c r="K104" s="97">
        <f t="shared" si="48"/>
        <v>306</v>
      </c>
      <c r="L104" s="98">
        <f t="shared" si="49"/>
        <v>102</v>
      </c>
      <c r="M104" s="99">
        <f t="shared" si="50"/>
        <v>26</v>
      </c>
      <c r="N104" s="100">
        <f t="shared" si="70"/>
        <v>101.93333333333334</v>
      </c>
      <c r="O104" s="100">
        <f t="shared" si="52"/>
        <v>305.8</v>
      </c>
      <c r="P104" s="100">
        <f t="shared" si="71"/>
        <v>25.483333333333334</v>
      </c>
      <c r="Q104" s="101">
        <f t="shared" si="54"/>
        <v>24</v>
      </c>
      <c r="R104" s="101">
        <f t="shared" si="55"/>
        <v>5</v>
      </c>
      <c r="S104" s="101">
        <f t="shared" si="56"/>
        <v>25</v>
      </c>
      <c r="T104" s="102">
        <f t="shared" si="57"/>
        <v>0</v>
      </c>
      <c r="U104" s="102">
        <f t="shared" si="58"/>
        <v>0</v>
      </c>
      <c r="V104" s="102">
        <f t="shared" si="59"/>
        <v>0</v>
      </c>
      <c r="W104" s="100">
        <f t="shared" si="45"/>
        <v>24</v>
      </c>
      <c r="X104" s="100">
        <f t="shared" si="46"/>
        <v>5</v>
      </c>
      <c r="Y104" s="100">
        <f t="shared" si="47"/>
        <v>25</v>
      </c>
      <c r="Z104" s="103" t="str">
        <f t="shared" si="68"/>
        <v/>
      </c>
      <c r="AA104" s="104" t="str">
        <f t="shared" si="61"/>
        <v/>
      </c>
      <c r="AB104" s="84">
        <f t="shared" si="64"/>
        <v>0</v>
      </c>
      <c r="AC104" s="1310" t="str">
        <f t="shared" si="65"/>
        <v/>
      </c>
      <c r="AD104" s="85"/>
      <c r="AE104" s="45">
        <f t="shared" si="66"/>
        <v>25</v>
      </c>
      <c r="AF104" s="74">
        <f t="shared" si="67"/>
        <v>0</v>
      </c>
      <c r="AG104" s="86" t="str">
        <f t="shared" si="62"/>
        <v/>
      </c>
      <c r="AH104" s="40"/>
      <c r="AI104" s="308" t="s">
        <v>103</v>
      </c>
      <c r="AJ104" s="311">
        <f t="shared" si="69"/>
        <v>0</v>
      </c>
    </row>
    <row r="105" spans="1:36" ht="11" customHeight="1">
      <c r="A105" s="105" t="str">
        <f>IFERROR(VLOOKUP(B3,'Aktuelle Einnahmen'!A2:H104,9,0),"")</f>
        <v/>
      </c>
      <c r="B105" s="106"/>
      <c r="C105" s="106"/>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45"/>
      <c r="AF105" s="107"/>
      <c r="AG105" s="108"/>
    </row>
    <row r="106" spans="1:36" ht="33" customHeight="1">
      <c r="A106" s="109" t="s">
        <v>137</v>
      </c>
      <c r="B106" s="818" t="s">
        <v>106</v>
      </c>
      <c r="C106" s="819"/>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45"/>
      <c r="AF106" s="110"/>
      <c r="AG106" s="46"/>
    </row>
    <row r="107" spans="1:36" ht="115" customHeight="1">
      <c r="A107" s="111" t="s">
        <v>89</v>
      </c>
      <c r="B107" s="112" t="s">
        <v>223</v>
      </c>
      <c r="C107" s="110"/>
      <c r="D107" s="110"/>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45"/>
      <c r="AF107" s="113"/>
      <c r="AG107" s="46"/>
    </row>
    <row r="108" spans="1:36" ht="111" customHeight="1">
      <c r="A108" s="111" t="s">
        <v>90</v>
      </c>
      <c r="B108" s="112" t="s">
        <v>224</v>
      </c>
      <c r="C108" s="110"/>
      <c r="D108" s="110"/>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45"/>
      <c r="AF108" s="113"/>
      <c r="AG108" s="46"/>
    </row>
    <row r="109" spans="1:36" ht="126" customHeight="1">
      <c r="A109" s="111" t="s">
        <v>91</v>
      </c>
      <c r="B109" s="112" t="s">
        <v>225</v>
      </c>
      <c r="C109" s="110"/>
      <c r="D109" s="110"/>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45"/>
      <c r="AF109" s="113"/>
      <c r="AG109" s="46"/>
    </row>
    <row r="110" spans="1:36" ht="126" customHeight="1">
      <c r="A110" s="111" t="s">
        <v>92</v>
      </c>
      <c r="B110" s="114" t="s">
        <v>226</v>
      </c>
      <c r="C110" s="110"/>
      <c r="D110" s="110"/>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45"/>
      <c r="AF110" s="113"/>
      <c r="AG110" s="46"/>
    </row>
    <row r="111" spans="1:36" ht="126" customHeight="1">
      <c r="A111" s="111" t="s">
        <v>93</v>
      </c>
      <c r="B111" s="112" t="s">
        <v>227</v>
      </c>
      <c r="C111" s="110"/>
      <c r="D111" s="110"/>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45"/>
      <c r="AF111" s="113"/>
      <c r="AG111" s="46"/>
    </row>
    <row r="112" spans="1:36" ht="126" customHeight="1">
      <c r="A112" s="111" t="s">
        <v>94</v>
      </c>
      <c r="B112" s="112" t="s">
        <v>228</v>
      </c>
      <c r="C112" s="110"/>
      <c r="D112" s="110"/>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45"/>
      <c r="AF112" s="113"/>
      <c r="AG112" s="46"/>
    </row>
    <row r="113" spans="1:33" ht="126" customHeight="1">
      <c r="A113" s="111" t="s">
        <v>95</v>
      </c>
      <c r="B113" s="112"/>
      <c r="C113" s="110"/>
      <c r="D113" s="110"/>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45"/>
      <c r="AF113" s="113"/>
      <c r="AG113" s="46"/>
    </row>
    <row r="114" spans="1:33" ht="126" customHeight="1">
      <c r="A114" s="111" t="s">
        <v>96</v>
      </c>
      <c r="B114" s="112" t="s">
        <v>154</v>
      </c>
      <c r="C114" s="110"/>
      <c r="D114" s="110"/>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45"/>
      <c r="AF114" s="113"/>
      <c r="AG114" s="46"/>
    </row>
    <row r="115" spans="1:33" ht="124" customHeight="1">
      <c r="A115" s="111" t="s">
        <v>97</v>
      </c>
      <c r="B115" s="112" t="s">
        <v>154</v>
      </c>
      <c r="C115" s="110"/>
      <c r="D115" s="110"/>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45"/>
      <c r="AF115" s="113"/>
      <c r="AG115" s="46"/>
    </row>
    <row r="116" spans="1:33" ht="123" customHeight="1">
      <c r="A116" s="115" t="s">
        <v>98</v>
      </c>
      <c r="B116" s="112"/>
      <c r="C116" s="110"/>
      <c r="D116" s="110"/>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45"/>
      <c r="AF116" s="113"/>
      <c r="AG116" s="46"/>
    </row>
    <row r="117" spans="1:33" ht="128" customHeight="1">
      <c r="A117" s="111" t="s">
        <v>99</v>
      </c>
      <c r="B117" s="112"/>
      <c r="C117" s="110"/>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45"/>
      <c r="AF117" s="113"/>
      <c r="AG117" s="46"/>
    </row>
    <row r="118" spans="1:33" ht="128" customHeight="1">
      <c r="A118" s="111" t="s">
        <v>100</v>
      </c>
      <c r="B118" s="112"/>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45"/>
      <c r="AF118" s="113"/>
      <c r="AG118" s="46"/>
    </row>
    <row r="119" spans="1:33" ht="128" customHeight="1">
      <c r="A119" s="115" t="s">
        <v>101</v>
      </c>
      <c r="B119" s="112"/>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45"/>
      <c r="AF119" s="113"/>
      <c r="AG119" s="46"/>
    </row>
    <row r="120" spans="1:33" ht="128" customHeight="1">
      <c r="A120" s="111" t="s">
        <v>102</v>
      </c>
      <c r="B120" s="112"/>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45"/>
      <c r="AF120" s="113"/>
      <c r="AG120" s="46"/>
    </row>
    <row r="121" spans="1:33" ht="128" customHeight="1">
      <c r="A121" s="111" t="s">
        <v>103</v>
      </c>
      <c r="B121" s="112"/>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45"/>
      <c r="AF121" s="113"/>
      <c r="AG121" s="46"/>
    </row>
    <row r="122" spans="1:33" ht="128" customHeight="1">
      <c r="A122" s="115" t="s">
        <v>107</v>
      </c>
      <c r="B122" s="112"/>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45"/>
      <c r="AF122" s="113"/>
      <c r="AG122" s="46"/>
    </row>
    <row r="123" spans="1:33" ht="128" customHeight="1">
      <c r="A123" s="111" t="s">
        <v>108</v>
      </c>
      <c r="B123" s="112"/>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45"/>
      <c r="AF123" s="113"/>
      <c r="AG123" s="46"/>
    </row>
    <row r="124" spans="1:33" ht="128" customHeight="1">
      <c r="A124" s="111" t="s">
        <v>109</v>
      </c>
      <c r="B124" s="112"/>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45"/>
      <c r="AF124" s="113"/>
      <c r="AG124" s="46"/>
    </row>
    <row r="125" spans="1:33" ht="128" customHeight="1">
      <c r="A125" s="115" t="s">
        <v>110</v>
      </c>
      <c r="B125" s="112"/>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45"/>
      <c r="AF125" s="113"/>
      <c r="AG125" s="46"/>
    </row>
  </sheetData>
  <sheetProtection algorithmName="SHA-512" hashValue="6e10uspBRXgLPd0+r8MUpeWfKjR1kFAdtaGzTQnp9aGZ8h+PyVyIxkH9yjV1RAMnBU1SujDbQI4t8DmTd9eTTA==" saltValue="7LWe1eUGWXVZ4MeXjWF67Q==" spinCount="100000" sheet="1" objects="1" scenarios="1"/>
  <mergeCells count="22">
    <mergeCell ref="A1:AD1"/>
    <mergeCell ref="E2:G2"/>
    <mergeCell ref="E5:G5"/>
    <mergeCell ref="I3:M3"/>
    <mergeCell ref="M4:M5"/>
    <mergeCell ref="L4:L5"/>
    <mergeCell ref="I4:J4"/>
    <mergeCell ref="I5:K5"/>
    <mergeCell ref="O3:AA3"/>
    <mergeCell ref="I2:M2"/>
    <mergeCell ref="O2:W2"/>
    <mergeCell ref="AA2:AB2"/>
    <mergeCell ref="AC2:AD2"/>
    <mergeCell ref="AI5:AJ5"/>
    <mergeCell ref="AG3:AG4"/>
    <mergeCell ref="H2:H5"/>
    <mergeCell ref="B106:C106"/>
    <mergeCell ref="AA4:AB4"/>
    <mergeCell ref="AA5:AB5"/>
    <mergeCell ref="D2:D3"/>
    <mergeCell ref="AF2:AF4"/>
    <mergeCell ref="B2:C2"/>
  </mergeCells>
  <phoneticPr fontId="83" type="noConversion"/>
  <dataValidations count="2">
    <dataValidation type="list" allowBlank="1" showInputMessage="1" showErrorMessage="1" sqref="Z2" xr:uid="{00000000-0002-0000-0100-000000000000}">
      <formula1>"Stufe A,Stufe B,Stufe C"</formula1>
    </dataValidation>
    <dataValidation type="list" allowBlank="1" showInputMessage="1" showErrorMessage="1" sqref="I6:I104" xr:uid="{00000000-0002-0000-0100-000001000000}">
      <formula1>"Auswahl treffen,Vermögend und stationär,Mittellos und stationär,Vermögend und ambulant,Mittellos und ambulant"</formula1>
    </dataValidation>
  </dataValidations>
  <pageMargins left="0.5" right="0.5" top="0.75" bottom="0.75" header="0.27777800000000002" footer="0.27777800000000002"/>
  <pageSetup scale="72" orientation="landscape"/>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AE489"/>
  <sheetViews>
    <sheetView showGridLines="0" workbookViewId="0">
      <selection activeCell="A21" sqref="A21:J21"/>
    </sheetView>
  </sheetViews>
  <sheetFormatPr baseColWidth="10" defaultColWidth="16.33203125" defaultRowHeight="20" customHeight="1"/>
  <cols>
    <col min="1" max="1" width="19.6640625" style="113" customWidth="1"/>
    <col min="2" max="2" width="5.5" style="113" customWidth="1"/>
    <col min="3" max="3" width="5.6640625" style="113" customWidth="1"/>
    <col min="4" max="4" width="4.33203125" style="113" customWidth="1"/>
    <col min="5" max="5" width="1.83203125" style="113" customWidth="1"/>
    <col min="6" max="6" width="7.5" style="113" customWidth="1"/>
    <col min="7" max="7" width="10.6640625" style="113" customWidth="1"/>
    <col min="8" max="8" width="13.6640625" style="113" customWidth="1"/>
    <col min="9" max="9" width="5.5" style="113" customWidth="1"/>
    <col min="10" max="10" width="5.83203125" style="113" customWidth="1"/>
    <col min="11" max="11" width="4.33203125" style="113" customWidth="1"/>
    <col min="12" max="14" width="1.33203125" style="113" customWidth="1"/>
    <col min="15" max="15" width="5.83203125" style="113" customWidth="1"/>
    <col min="16" max="16" width="7.33203125" style="113" customWidth="1"/>
    <col min="17" max="17" width="7.1640625" style="113" customWidth="1"/>
    <col min="18" max="18" width="6.33203125" style="113" customWidth="1"/>
    <col min="19" max="19" width="6.5" style="113" customWidth="1"/>
    <col min="20" max="20" width="12.83203125" style="113" customWidth="1"/>
    <col min="21" max="21" width="8" style="113" customWidth="1"/>
    <col min="22" max="22" width="7.83203125" style="113" customWidth="1"/>
    <col min="23" max="23" width="5.5" style="113" customWidth="1"/>
    <col min="24" max="24" width="5.83203125" style="113" customWidth="1"/>
    <col min="25" max="25" width="32.5" style="113" customWidth="1"/>
    <col min="26" max="26" width="5.1640625" style="113" customWidth="1"/>
    <col min="27" max="27" width="6" style="113" customWidth="1"/>
    <col min="28" max="28" width="29.83203125" style="110" customWidth="1"/>
    <col min="29" max="29" width="9.1640625" style="395" customWidth="1"/>
    <col min="30" max="30" width="7.5" style="110" customWidth="1"/>
    <col min="31" max="31" width="31" style="113" customWidth="1"/>
    <col min="32" max="16384" width="16.33203125" style="113"/>
  </cols>
  <sheetData>
    <row r="1" spans="1:29" ht="24" customHeight="1">
      <c r="A1" s="861" t="str">
        <f>Anleitung!A45</f>
        <v>Betreuungsbüro Max Mustermann</v>
      </c>
      <c r="B1" s="862"/>
      <c r="C1" s="862"/>
      <c r="D1" s="862"/>
      <c r="E1" s="862"/>
      <c r="F1" s="862"/>
      <c r="G1" s="862"/>
      <c r="H1" s="862"/>
      <c r="I1" s="862"/>
      <c r="J1" s="863" t="str">
        <f>Anleitung!A47</f>
        <v xml:space="preserve">Max Mustermann
Postfach 12345
12345 Musterstadt
Tel: 052 – 40 30
Fax: 052 – 53 04 27 39 </v>
      </c>
      <c r="K1" s="864"/>
      <c r="L1" s="863"/>
      <c r="M1" s="864"/>
      <c r="N1" s="863"/>
      <c r="O1" s="864"/>
      <c r="P1" s="863"/>
      <c r="Q1" s="872" t="str">
        <f>'Aktuelle Einnahmen'!Z2</f>
        <v>Stufe C</v>
      </c>
      <c r="R1" s="873"/>
      <c r="S1" s="874"/>
      <c r="T1" s="110"/>
      <c r="AB1" s="396"/>
      <c r="AC1" s="110"/>
    </row>
    <row r="2" spans="1:29" ht="65" customHeight="1" thickBot="1">
      <c r="A2" s="908" t="str">
        <f>IFERROR(VLOOKUP(G3,'Aktuelle Einnahmen'!A2:B125,2,0),"")</f>
        <v>Amtsgericht XXX
Betreuungsgericht
Postfach XXX</v>
      </c>
      <c r="B2" s="866"/>
      <c r="C2" s="866"/>
      <c r="D2" s="866"/>
      <c r="E2" s="866"/>
      <c r="F2" s="866"/>
      <c r="G2" s="866"/>
      <c r="H2" s="866"/>
      <c r="I2" s="866"/>
      <c r="J2" s="865"/>
      <c r="K2" s="866"/>
      <c r="L2" s="865"/>
      <c r="M2" s="866"/>
      <c r="N2" s="865"/>
      <c r="O2" s="866"/>
      <c r="P2" s="865"/>
      <c r="Q2" s="116">
        <f>DATE(K5,J5,Q5)</f>
        <v>44161</v>
      </c>
      <c r="R2" s="117">
        <f>DATE(YEAR(Q2)+INT((MONTH(Q2)+(C12-1)*3-1)/12),MOD(MONTH(Q2)+(C12-1)*3-1,12)+1,DAY(Q2))</f>
        <v>45256</v>
      </c>
      <c r="S2" s="444"/>
      <c r="T2" s="110"/>
      <c r="Z2" s="110"/>
      <c r="AB2" s="396"/>
      <c r="AC2" s="110"/>
    </row>
    <row r="3" spans="1:29" ht="22" customHeight="1" thickBot="1">
      <c r="A3" s="445" t="s">
        <v>78</v>
      </c>
      <c r="B3" s="392">
        <v>2</v>
      </c>
      <c r="C3" s="883" t="str">
        <f>IF(OR(R18=1,R18=2,R18=3),"/ Q1",IF(OR(R18=4,R18=5,R18=6),"/ Q2",IF(OR(R18=7,R18=8,R18=9),"/ Q3","/ Q4")))&amp;" "&amp;S18</f>
        <v>/ Q1 2024</v>
      </c>
      <c r="D3" s="884"/>
      <c r="E3" s="884"/>
      <c r="F3" s="884"/>
      <c r="G3" s="118" t="str">
        <f>IFERROR(VLOOKUP(B3,'Aktuelle Einnahmen'!A2:H104,8,0),"")</f>
        <v>A1</v>
      </c>
      <c r="H3" s="119"/>
      <c r="I3" s="965" t="s">
        <v>219</v>
      </c>
      <c r="J3" s="965"/>
      <c r="K3" s="965"/>
      <c r="L3" s="965"/>
      <c r="M3" s="965"/>
      <c r="N3" s="709"/>
      <c r="O3" s="900" t="s">
        <v>141</v>
      </c>
      <c r="P3" s="901"/>
      <c r="Q3" s="902"/>
      <c r="R3" s="895">
        <f>IF(ISNUMBER(T3), T3, 'Aktuelle Einnahmen'!D$4)</f>
        <v>45369</v>
      </c>
      <c r="S3" s="896"/>
      <c r="T3" s="972" t="str">
        <f>IF(OR(ISBLANK(V3), ISBLANK(W3), ISBLANK(X3)), "", DATE(100+X3, W3, V3))</f>
        <v/>
      </c>
      <c r="U3" s="973"/>
      <c r="V3" s="732">
        <v>1</v>
      </c>
      <c r="W3" s="332"/>
      <c r="X3" s="733">
        <v>23</v>
      </c>
      <c r="Y3" s="400" t="s">
        <v>140</v>
      </c>
      <c r="Z3" s="401"/>
      <c r="AB3" s="396"/>
      <c r="AC3" s="110"/>
    </row>
    <row r="4" spans="1:29" ht="20" customHeight="1">
      <c r="A4" s="462" t="s">
        <v>9</v>
      </c>
      <c r="B4" s="888" t="s">
        <v>10</v>
      </c>
      <c r="C4" s="889"/>
      <c r="D4" s="889"/>
      <c r="E4" s="889"/>
      <c r="F4" s="889"/>
      <c r="G4" s="888" t="s">
        <v>17</v>
      </c>
      <c r="H4" s="889"/>
      <c r="I4" s="122" t="s">
        <v>18</v>
      </c>
      <c r="J4" s="122" t="s">
        <v>5</v>
      </c>
      <c r="K4" s="966" t="s">
        <v>19</v>
      </c>
      <c r="L4" s="966"/>
      <c r="M4" s="966"/>
      <c r="N4" s="330"/>
      <c r="O4" s="519">
        <f>DATE(K5,J5,I5+1)</f>
        <v>44161</v>
      </c>
      <c r="P4" s="393">
        <f>DATE(K5,J5,Q13)</f>
        <v>44161</v>
      </c>
      <c r="Q4" s="897" t="s">
        <v>20</v>
      </c>
      <c r="R4" s="898"/>
      <c r="S4" s="899"/>
      <c r="T4" s="399"/>
      <c r="U4" s="726"/>
      <c r="V4" s="726"/>
      <c r="W4" s="726"/>
      <c r="X4" s="726"/>
      <c r="AB4" s="396"/>
      <c r="AC4" s="110"/>
    </row>
    <row r="5" spans="1:29" ht="22" customHeight="1">
      <c r="A5" s="628" t="str">
        <f>IFERROR(VLOOKUP(B3,'Aktuelle Einnahmen'!A2:G104,2,0),"")</f>
        <v>Benjamin</v>
      </c>
      <c r="B5" s="890" t="str">
        <f>IFERROR(VLOOKUP(B3,'Aktuelle Einnahmen'!A2:G104,3,0),"")</f>
        <v>Brown</v>
      </c>
      <c r="C5" s="891"/>
      <c r="D5" s="891"/>
      <c r="E5" s="891"/>
      <c r="F5" s="891"/>
      <c r="G5" s="892" t="str">
        <f>IFERROR(VLOOKUP(B3,'Aktuelle Einnahmen'!A2:G104,4,0),"")</f>
        <v>10 XVII 834 / 19 B</v>
      </c>
      <c r="H5" s="893"/>
      <c r="I5" s="710">
        <f>IFERROR(VLOOKUP(B3,'Aktuelle Einnahmen'!A2:G104,5,0),"")</f>
        <v>25</v>
      </c>
      <c r="J5" s="627">
        <f>IFERROR(VLOOKUP(B3,'Aktuelle Einnahmen'!A2:G104,6,0),"")</f>
        <v>11</v>
      </c>
      <c r="K5" s="967">
        <f>IFERROR(VLOOKUP(B3,'Aktuelle Einnahmen'!A2:G104,7,0)+2000,"")</f>
        <v>2020</v>
      </c>
      <c r="L5" s="967"/>
      <c r="M5" s="967"/>
      <c r="N5" s="634"/>
      <c r="O5" s="652">
        <f>DATE(K5,J5,I5)</f>
        <v>44160</v>
      </c>
      <c r="P5" s="651" t="s">
        <v>21</v>
      </c>
      <c r="Q5" s="723">
        <f>DAY(T5)</f>
        <v>26</v>
      </c>
      <c r="R5" s="653">
        <f>MONTH(T5)</f>
        <v>11</v>
      </c>
      <c r="S5" s="654">
        <f>YEAR(T5)</f>
        <v>2023</v>
      </c>
      <c r="T5" s="727">
        <f>EDATE(O4, V5*3)</f>
        <v>45256</v>
      </c>
      <c r="U5" s="726"/>
      <c r="V5" s="724">
        <f>C12-1</f>
        <v>12</v>
      </c>
      <c r="W5" s="726"/>
      <c r="X5" s="726"/>
      <c r="AB5" s="396"/>
      <c r="AC5" s="110"/>
    </row>
    <row r="6" spans="1:29" ht="1" hidden="1" customHeight="1">
      <c r="A6" s="690"/>
      <c r="B6" s="929"/>
      <c r="C6" s="930"/>
      <c r="D6" s="930"/>
      <c r="E6" s="930"/>
      <c r="F6" s="930"/>
      <c r="G6" s="929"/>
      <c r="H6" s="930"/>
      <c r="I6" s="711"/>
      <c r="J6" s="712"/>
      <c r="K6" s="713"/>
      <c r="L6" s="906"/>
      <c r="M6" s="907"/>
      <c r="N6" s="907"/>
      <c r="O6" s="907"/>
      <c r="P6" s="894" t="s">
        <v>22</v>
      </c>
      <c r="Q6" s="903">
        <f>DAY(T7)</f>
        <v>25</v>
      </c>
      <c r="R6" s="905">
        <f>MONTH(T7)</f>
        <v>2</v>
      </c>
      <c r="S6" s="875">
        <f>YEAR(T7)</f>
        <v>2024</v>
      </c>
      <c r="T6" s="399"/>
      <c r="U6" s="726"/>
      <c r="V6" s="726"/>
      <c r="W6" s="726"/>
      <c r="X6" s="726"/>
      <c r="AB6" s="396"/>
      <c r="AC6" s="110"/>
    </row>
    <row r="7" spans="1:29" ht="44" customHeight="1">
      <c r="A7" s="947" t="s">
        <v>160</v>
      </c>
      <c r="B7" s="907"/>
      <c r="C7" s="907"/>
      <c r="D7" s="907"/>
      <c r="E7" s="907"/>
      <c r="F7" s="907"/>
      <c r="G7" s="907"/>
      <c r="H7" s="907"/>
      <c r="I7" s="907"/>
      <c r="J7" s="907"/>
      <c r="K7" s="907"/>
      <c r="L7" s="907"/>
      <c r="M7" s="907"/>
      <c r="N7" s="907"/>
      <c r="O7" s="907"/>
      <c r="P7" s="889"/>
      <c r="Q7" s="904"/>
      <c r="R7" s="893"/>
      <c r="S7" s="876"/>
      <c r="T7" s="727">
        <f>EDATE(O4, C12*3)-1</f>
        <v>45347</v>
      </c>
      <c r="U7" s="726"/>
      <c r="V7" s="726"/>
      <c r="W7" s="726"/>
      <c r="X7" s="726"/>
      <c r="AB7" s="396"/>
      <c r="AC7" s="110"/>
    </row>
    <row r="8" spans="1:29" ht="19" customHeight="1">
      <c r="A8" s="877" t="str">
        <f>IF(A10="Vermögend und ambulant","Erstellung eines Festsetzungsbeschlusses, zum vom Betroffenen zu zahlenden Vergütungsbetrages.",IF(A10="Mittellos und ambulant","Erstattung meiner Vergütung aus der Staatskasse",IF(A10="Vermögend und stationär","Erstellung eines Festsetzungsbeschlusses, zum vom Betroffenen zu zahlenden Vergütungsbetrages.",IF(A10="Mittellos und stationär","Erstattung meiner Vergütung aus der Staatskasse",""))))</f>
        <v>Erstellung eines Festsetzungsbeschlusses, zum vom Betroffenen zu zahlenden Vergütungsbetrages.</v>
      </c>
      <c r="B8" s="878"/>
      <c r="C8" s="878"/>
      <c r="D8" s="878"/>
      <c r="E8" s="878"/>
      <c r="F8" s="878"/>
      <c r="G8" s="878"/>
      <c r="H8" s="878"/>
      <c r="I8" s="878"/>
      <c r="J8" s="878"/>
      <c r="K8" s="878"/>
      <c r="L8" s="878"/>
      <c r="M8" s="878"/>
      <c r="N8" s="878"/>
      <c r="O8" s="878"/>
      <c r="P8" s="879"/>
      <c r="Q8" s="708"/>
      <c r="R8" s="121"/>
      <c r="S8" s="446"/>
      <c r="T8" s="399"/>
      <c r="U8" s="726"/>
      <c r="V8" s="726"/>
      <c r="W8" s="726"/>
      <c r="X8" s="726"/>
      <c r="AB8" s="396"/>
      <c r="AC8" s="110"/>
    </row>
    <row r="9" spans="1:29" ht="6" customHeight="1" thickBot="1">
      <c r="A9" s="880"/>
      <c r="B9" s="881"/>
      <c r="C9" s="881"/>
      <c r="D9" s="881"/>
      <c r="E9" s="881"/>
      <c r="F9" s="881"/>
      <c r="G9" s="881"/>
      <c r="H9" s="881"/>
      <c r="I9" s="881"/>
      <c r="J9" s="881"/>
      <c r="K9" s="881"/>
      <c r="L9" s="881"/>
      <c r="M9" s="881"/>
      <c r="N9" s="881"/>
      <c r="O9" s="881"/>
      <c r="P9" s="882"/>
      <c r="Q9" s="330"/>
      <c r="R9" s="123"/>
      <c r="S9" s="447"/>
      <c r="T9" s="110"/>
      <c r="AB9" s="396"/>
      <c r="AC9" s="110"/>
    </row>
    <row r="10" spans="1:29" ht="32" customHeight="1" thickBot="1">
      <c r="A10" s="885" t="str">
        <f>IFERROR(VLOOKUP(B3,'Aktuelle Einnahmen'!A2:I104,9,0),"")</f>
        <v>Vermögend und stationär</v>
      </c>
      <c r="B10" s="886"/>
      <c r="C10" s="886"/>
      <c r="D10" s="887"/>
      <c r="E10" s="705"/>
      <c r="F10" s="706"/>
      <c r="G10" s="945" t="s">
        <v>23</v>
      </c>
      <c r="H10" s="946"/>
      <c r="I10" s="926">
        <f>SUM(M21)+SUM(M16)+SUM(M18)+SUM(M20)+SUM(L19+SUM(M14))</f>
        <v>486</v>
      </c>
      <c r="J10" s="927"/>
      <c r="K10" s="927"/>
      <c r="L10" s="927"/>
      <c r="M10" s="928"/>
      <c r="N10" s="943"/>
      <c r="O10" s="928"/>
      <c r="P10" s="707"/>
      <c r="Q10" s="650"/>
      <c r="R10" s="147">
        <f>R13-J5</f>
        <v>0</v>
      </c>
      <c r="S10" s="448">
        <f>S13-K5</f>
        <v>3</v>
      </c>
      <c r="T10" s="110"/>
      <c r="AB10" s="396"/>
      <c r="AC10" s="110"/>
    </row>
    <row r="11" spans="1:29" ht="45" customHeight="1" thickBot="1">
      <c r="A11" s="931" t="s">
        <v>218</v>
      </c>
      <c r="B11" s="932"/>
      <c r="C11" s="932"/>
      <c r="D11" s="932"/>
      <c r="E11" s="932"/>
      <c r="F11" s="932"/>
      <c r="G11" s="932"/>
      <c r="H11" s="932"/>
      <c r="I11" s="932"/>
      <c r="J11" s="932"/>
      <c r="K11" s="932"/>
      <c r="L11" s="932"/>
      <c r="M11" s="932"/>
      <c r="N11" s="932"/>
      <c r="O11" s="932"/>
      <c r="P11" s="932"/>
      <c r="Q11" s="932"/>
      <c r="R11" s="932"/>
      <c r="S11" s="933"/>
      <c r="T11" s="110"/>
      <c r="Z11" s="110"/>
      <c r="AB11" s="396"/>
      <c r="AC11" s="110"/>
    </row>
    <row r="12" spans="1:29" ht="27" customHeight="1" thickBot="1">
      <c r="A12" s="909" t="s">
        <v>24</v>
      </c>
      <c r="B12" s="910"/>
      <c r="C12" s="660">
        <f>IF(ISNUMBER(V12), V12, ROUNDDOWN((DATEDIF(P4, R3, "M") ) / 3, 0))</f>
        <v>13</v>
      </c>
      <c r="D12" s="661"/>
      <c r="E12" s="661"/>
      <c r="F12" s="661"/>
      <c r="G12" s="647"/>
      <c r="H12" s="940" t="s">
        <v>25</v>
      </c>
      <c r="I12" s="941"/>
      <c r="J12" s="940" t="s">
        <v>26</v>
      </c>
      <c r="K12" s="941"/>
      <c r="L12" s="941"/>
      <c r="M12" s="941"/>
      <c r="N12" s="944"/>
      <c r="O12" s="662">
        <f>IF(Q1="Stufe C",G13,IF(Q1="Stufe A",G15,IF(Q1="Stufe B",G14)))</f>
        <v>127</v>
      </c>
      <c r="P12" s="663"/>
      <c r="Q12" s="639" t="s">
        <v>18</v>
      </c>
      <c r="R12" s="639" t="s">
        <v>27</v>
      </c>
      <c r="S12" s="644" t="s">
        <v>19</v>
      </c>
      <c r="T12" s="110"/>
      <c r="U12" s="331" t="str">
        <f>IF(ISBLANK(V12), "", V12)</f>
        <v/>
      </c>
      <c r="V12" s="332"/>
      <c r="W12" s="968" t="s">
        <v>139</v>
      </c>
      <c r="X12" s="969"/>
      <c r="Y12" s="970"/>
      <c r="Z12" s="402"/>
      <c r="AA12" s="110"/>
      <c r="AB12" s="396"/>
      <c r="AC12" s="110"/>
    </row>
    <row r="13" spans="1:29" ht="22" customHeight="1">
      <c r="A13" s="869" t="s">
        <v>81</v>
      </c>
      <c r="B13" s="870"/>
      <c r="C13" s="870"/>
      <c r="D13" s="870"/>
      <c r="E13" s="870"/>
      <c r="F13" s="942">
        <v>1</v>
      </c>
      <c r="G13" s="125">
        <f>IF(AND(A10="Vermögend und ambulant",C12&gt;8,C12&lt;=1000),211,IF(AND(A10="Vermögend und ambulant",C12&gt;4,C12&lt;=8),257,IF(AND(A10="Vermögend und ambulant",C12&gt;2,C12&lt;=4),312,IF(AND(A10="Vermögend und ambulant",C12&gt;1,C12&lt;=2),339,IF(AND(A10="Vermögend und ambulant",C12&gt;0,C12&lt;=1),486,IF(AND(A10="Vermögend und stationär",C12&gt;8,C12&lt;=1000),127,IF(AND(A10="Vermögend und stationär",C12&gt;4,C12&lt;=8),149,IF(AND(A10="Vermögend und stationär",C12&gt;2,C12&lt;=4),229,IF(AND(A10="Vermögend und stationär",C12&gt;1,C12&lt;=2),257,IF(AND(A10="Vermögend und stationär",C12&gt;0,C12&lt;=1),327,IF(AND(A10="Mittellos und ambulant",C12&gt;8,C12&lt;=1000),171,IF(AND(A10="Mittellos und ambulant",C12&gt;4,C12&lt;=8),198,IF(AND(A10="Mittellos und ambulant",C12&gt;2,C12&lt;=4),246,IF(AND(A10="Mittellos und ambulant",C12&gt;1,C12&lt;=2),277,IF(AND(A10="Mittellos und ambulant",C12&gt;0,C12&lt;=1),339,IF(AND(A10="Mittellos und stationär",C12&gt;8,C12&lt;=1000),102,IF(AND(A10="Mittellos und stationär",C12&gt;4,C12&lt;=8),141,IF(AND(A10="Mittellos und stationär",C12&gt;2,C12&lt;=4),202,IF(AND(A10="Mittellos und stationär",C12&gt;1,C12&lt;=2),208,IF(AND(A10="Mittellos und stationär",C12&gt;0,C12&lt;=1),317,""))))))))))))))))))))</f>
        <v>127</v>
      </c>
      <c r="H13" s="857">
        <f>S10*12+R10+1</f>
        <v>37</v>
      </c>
      <c r="I13" s="858"/>
      <c r="J13" s="855">
        <f>DATE(S5,R5,Q13)</f>
        <v>45256</v>
      </c>
      <c r="K13" s="856"/>
      <c r="L13" s="126">
        <f>IF(AND(S13&gt;2023, S13&lt;2026, OR(A21="Übernahme von Berufsbetreuer", A21="Übernahme von ehrenamtlichen Betreuer")), 7.5, 0)</f>
        <v>0</v>
      </c>
      <c r="M13" s="850"/>
      <c r="N13" s="851"/>
      <c r="O13" s="851"/>
      <c r="P13" s="127" t="str">
        <f>IF(L13&gt;0,L13,"")</f>
        <v/>
      </c>
      <c r="Q13" s="640">
        <f>DAY(O4)</f>
        <v>26</v>
      </c>
      <c r="R13" s="640">
        <f>R5</f>
        <v>11</v>
      </c>
      <c r="S13" s="645">
        <f>S5</f>
        <v>2023</v>
      </c>
      <c r="T13" s="110"/>
      <c r="U13" s="318"/>
      <c r="Z13" s="110"/>
      <c r="AB13" s="396"/>
      <c r="AC13" s="110"/>
    </row>
    <row r="14" spans="1:29" ht="22" customHeight="1">
      <c r="A14" s="871"/>
      <c r="B14" s="870"/>
      <c r="C14" s="870"/>
      <c r="D14" s="870"/>
      <c r="E14" s="870"/>
      <c r="F14" s="868"/>
      <c r="G14" s="128">
        <f>IF(AND(A10="Vermögend und ambulant",C12&gt;8,C12&lt;=1000),161,IF(AND(A10="Vermögend und ambulant",C12&gt;4,C12&lt;=8),196,IF(AND(A10="Vermögend und ambulant",C12&gt;2,C12&lt;=4),238,IF(AND(A10="Vermögend und ambulant",C12&gt;1,C12&lt;=2),258,IF(AND(A10="Vermögend und ambulant",C12&gt;0,C12&lt;=1),370,IF(AND(A10="Vermögend und stationär",C12&gt;8,C12&lt;=1000),96,IF(AND(A10="Vermögend und stationär",C12&gt;4,C12&lt;=8),113,IF(AND(A10="Vermögend und stationär",C12&gt;2,C12&lt;=4),174,IF(AND(A10="Vermögend und stationär",C12&gt;1,C12&lt;=2),196,IF(AND(A10="Vermögend und stationär",C12&gt;0,C12&lt;=1),249,IF(AND(A10="Mittellos und ambulant",C12&gt;8,C12&lt;=1000),130,IF(AND(A10="Mittellos und ambulant",C12&gt;4,C12&lt;=8),151,IF(AND(A10="Mittellos und ambulant",C12&gt;2,C12&lt;=4),188,IF(AND(A10="Mittellos und ambulant",C12&gt;1,C12&lt;=2),211,IF(AND(A10="Mittellos und ambulant",C12&gt;0,C12&lt;=1),258,IF(AND(A10="Mittellos und stationär",C12&gt;8,C12&lt;=1000),78,IF(AND(A10="Mittellos und stationär",C12&gt;4,C12&lt;=8),107,IF(AND(A10="Mittellos und stationär",C12&gt;2,C12&lt;=4),154,IF(AND(A10="Mittellos und stationär",C12&gt;1,C12&lt;=2),158,IF(AND(A10="Mittellos und stationär",C12&gt;0,C12&lt;=1),241,""))))))))))))))))))))</f>
        <v>96</v>
      </c>
      <c r="H14" s="858"/>
      <c r="I14" s="858"/>
      <c r="J14" s="853">
        <f>EDATE(J13,1)-1</f>
        <v>45285</v>
      </c>
      <c r="K14" s="854"/>
      <c r="L14" s="129">
        <f>IF(OR(S14=2024,S14=2025),7.5,0)</f>
        <v>0</v>
      </c>
      <c r="M14" s="859">
        <f>O12</f>
        <v>127</v>
      </c>
      <c r="N14" s="860"/>
      <c r="O14" s="860"/>
      <c r="P14" s="130" t="str">
        <f>IF(L14&gt;0,L14,"")</f>
        <v/>
      </c>
      <c r="Q14" s="640">
        <f>DAY(J14)</f>
        <v>25</v>
      </c>
      <c r="R14" s="641">
        <f>MONTH(J14)</f>
        <v>12</v>
      </c>
      <c r="S14" s="645">
        <f>YEAR(J14)</f>
        <v>2023</v>
      </c>
      <c r="T14" s="110"/>
      <c r="AB14" s="396"/>
      <c r="AC14" s="110"/>
    </row>
    <row r="15" spans="1:29" ht="22" customHeight="1">
      <c r="A15" s="869" t="s">
        <v>28</v>
      </c>
      <c r="B15" s="870"/>
      <c r="C15" s="870"/>
      <c r="D15" s="870"/>
      <c r="E15" s="870"/>
      <c r="F15" s="867">
        <v>2</v>
      </c>
      <c r="G15" s="131">
        <f>IF(AND(A10="Vermögend und ambulant",C12&gt;8,C12&lt;=1000),130,IF(AND(A10="Vermögend und ambulant",C12&gt;4,C12&lt;=8),158,IF(AND(A10="Vermögend und ambulant",C12&gt;2,C12&lt;=4),192,IF(AND(A10="Vermögend und ambulant",C12&gt;1,C12&lt;=2),208,IF(AND(A10="Vermögend und ambulant",C12&gt;0,C12&lt;=1),298,IF(AND(A10="Vermögend und stationär",C12&gt;8,C12&lt;=1000),78,IF(AND(A10="Vermögend und stationär",C12&gt;4,C12&lt;=8),91,IF(AND(A10="Vermögend und stationär",C12&gt;2,C12&lt;=4),140,IF(AND(A10="Vermögend und stationär",C12&gt;1,C12&lt;=2),158,IF(AND(A10="Vermögend und stationär",C12&gt;0,C12&lt;=1),200,IF(AND(A10="Mittellos und ambulant",C12&gt;8,C12&lt;=1000),105,IF(AND(A10="Mittellos und ambulant",C12&gt;4,C12&lt;=8),122,IF(AND(A10="Mittellos und ambulant",C12&gt;2,C12&lt;=4),151,IF(AND(A10="Mittellos und ambulant",C12&gt;1,C12&lt;=2),170,IF(AND(A10="Mittellos und ambulant",C12&gt;0,C12&lt;=1),208,IF(AND(A10="Mittellos und stationär",C12&gt;8,C12&lt;=1000),62,IF(AND(A10="Mittellos und stationär",C12&gt;4,C12&lt;=8),87,IF(AND(A10="Mittellos und stationär",C12&gt;2,C12&lt;=4),124,IF(AND(A10="Mittellos und stationär",C12&gt;1,C12&lt;=2),129,IF(AND(A10="Mittellos und stationär",C12&gt;0,C12&lt;=1),194,""))))))))))))))))))))</f>
        <v>78</v>
      </c>
      <c r="H15" s="857">
        <f>H13+1</f>
        <v>38</v>
      </c>
      <c r="I15" s="858"/>
      <c r="J15" s="855">
        <f>J14+1</f>
        <v>45286</v>
      </c>
      <c r="K15" s="856"/>
      <c r="L15" s="132"/>
      <c r="M15" s="850"/>
      <c r="N15" s="851"/>
      <c r="O15" s="851"/>
      <c r="P15" s="133"/>
      <c r="Q15" s="640">
        <f>DAY(J15)</f>
        <v>26</v>
      </c>
      <c r="R15" s="641">
        <f>MONTH(J15)</f>
        <v>12</v>
      </c>
      <c r="S15" s="645">
        <f>YEAR(J15)</f>
        <v>2023</v>
      </c>
      <c r="T15" s="110"/>
      <c r="AB15" s="396"/>
      <c r="AC15" s="110"/>
    </row>
    <row r="16" spans="1:29" ht="22" customHeight="1">
      <c r="A16" s="871"/>
      <c r="B16" s="870"/>
      <c r="C16" s="870"/>
      <c r="D16" s="870"/>
      <c r="E16" s="870"/>
      <c r="F16" s="868"/>
      <c r="G16" s="124"/>
      <c r="H16" s="858"/>
      <c r="I16" s="858"/>
      <c r="J16" s="855">
        <f>EDATE(J13,2)-1</f>
        <v>45316</v>
      </c>
      <c r="K16" s="856"/>
      <c r="L16" s="129">
        <f>IF(OR(S16=2024,S16=2025),7.5,0)</f>
        <v>7.5</v>
      </c>
      <c r="M16" s="914">
        <f>M14</f>
        <v>127</v>
      </c>
      <c r="N16" s="860"/>
      <c r="O16" s="860"/>
      <c r="P16" s="130">
        <f>IF(L16&gt;0,L16,"")</f>
        <v>7.5</v>
      </c>
      <c r="Q16" s="640">
        <f>DAY(J16)</f>
        <v>25</v>
      </c>
      <c r="R16" s="641">
        <f>MONTH(J16)</f>
        <v>1</v>
      </c>
      <c r="S16" s="645">
        <f>YEAR(J16)</f>
        <v>2024</v>
      </c>
      <c r="T16" s="110"/>
      <c r="AB16" s="396"/>
      <c r="AC16" s="110"/>
    </row>
    <row r="17" spans="1:31" ht="22" customHeight="1">
      <c r="A17" s="869" t="s">
        <v>29</v>
      </c>
      <c r="B17" s="870"/>
      <c r="C17" s="870"/>
      <c r="D17" s="870"/>
      <c r="E17" s="870"/>
      <c r="F17" s="867">
        <v>3</v>
      </c>
      <c r="G17" s="134"/>
      <c r="H17" s="857">
        <f>H13+2</f>
        <v>39</v>
      </c>
      <c r="I17" s="858"/>
      <c r="J17" s="855">
        <f>J16+1</f>
        <v>45317</v>
      </c>
      <c r="K17" s="856"/>
      <c r="L17" s="135"/>
      <c r="M17" s="850"/>
      <c r="N17" s="851"/>
      <c r="O17" s="851"/>
      <c r="P17" s="133"/>
      <c r="Q17" s="640">
        <f>DAY(J17)</f>
        <v>26</v>
      </c>
      <c r="R17" s="641">
        <f>MONTH(J17)</f>
        <v>1</v>
      </c>
      <c r="S17" s="645">
        <f>YEAR(J17)</f>
        <v>2024</v>
      </c>
      <c r="T17" s="110"/>
      <c r="AB17" s="396"/>
      <c r="AC17" s="110"/>
    </row>
    <row r="18" spans="1:31" ht="22" customHeight="1">
      <c r="A18" s="871"/>
      <c r="B18" s="870"/>
      <c r="C18" s="870"/>
      <c r="D18" s="870"/>
      <c r="E18" s="870"/>
      <c r="F18" s="868"/>
      <c r="G18" s="124"/>
      <c r="H18" s="858"/>
      <c r="I18" s="858"/>
      <c r="J18" s="855">
        <f>EDATE(J13,3)-1</f>
        <v>45347</v>
      </c>
      <c r="K18" s="856"/>
      <c r="L18" s="129">
        <f>IF(OR(S18=2024,S18=2025),7.5,0)</f>
        <v>7.5</v>
      </c>
      <c r="M18" s="914">
        <f>M16</f>
        <v>127</v>
      </c>
      <c r="N18" s="860"/>
      <c r="O18" s="860"/>
      <c r="P18" s="130">
        <f>IF(L18&gt;0,L18,"")</f>
        <v>7.5</v>
      </c>
      <c r="Q18" s="640">
        <f>DAY(J18)</f>
        <v>25</v>
      </c>
      <c r="R18" s="641">
        <f>MONTH(J18)</f>
        <v>2</v>
      </c>
      <c r="S18" s="645">
        <f>YEAR(J18)</f>
        <v>2024</v>
      </c>
      <c r="T18" s="110"/>
      <c r="AB18" s="396"/>
      <c r="AC18" s="110"/>
    </row>
    <row r="19" spans="1:31" ht="23" customHeight="1">
      <c r="A19" s="915" t="str">
        <f>IF(ISNUMBER(P19),"Inflationsprämie laut Bundesratsbeschluss vom 15.12.2023 7,50 EUR pro Monat:","")</f>
        <v>Inflationsprämie laut Bundesratsbeschluss vom 15.12.2023 7,50 EUR pro Monat:</v>
      </c>
      <c r="B19" s="851"/>
      <c r="C19" s="851"/>
      <c r="D19" s="851"/>
      <c r="E19" s="851"/>
      <c r="F19" s="851"/>
      <c r="G19" s="851"/>
      <c r="H19" s="851"/>
      <c r="I19" s="851"/>
      <c r="J19" s="851"/>
      <c r="K19" s="916"/>
      <c r="L19" s="136">
        <f>IF(AND(ISNUMBER(L13),ISNUMBER(L14),ISNUMBER(L16),ISNUMBER(L18)),L14+L16+L13+L18,"")</f>
        <v>15</v>
      </c>
      <c r="M19" s="852"/>
      <c r="N19" s="851"/>
      <c r="O19" s="851"/>
      <c r="P19" s="137">
        <f>IF(L19&gt;0,L19,"")</f>
        <v>15</v>
      </c>
      <c r="Q19" s="648"/>
      <c r="R19" s="610"/>
      <c r="S19" s="649"/>
      <c r="T19" s="110"/>
      <c r="AB19" s="396"/>
      <c r="AC19" s="110"/>
    </row>
    <row r="20" spans="1:31" ht="23" customHeight="1">
      <c r="A20" s="915" t="str">
        <f>IF(M20=90,"Ferner wird eine gesonderte Pauschale gem. § 10 VBVG geltend gemacht.","")</f>
        <v>Ferner wird eine gesonderte Pauschale gem. § 10 VBVG geltend gemacht.</v>
      </c>
      <c r="B20" s="851"/>
      <c r="C20" s="851"/>
      <c r="D20" s="920"/>
      <c r="E20" s="851"/>
      <c r="F20" s="851"/>
      <c r="G20" s="920"/>
      <c r="H20" s="851"/>
      <c r="I20" s="851"/>
      <c r="J20" s="920"/>
      <c r="K20" s="916"/>
      <c r="L20" s="139">
        <f>IFERROR(VLOOKUP(B3,'Aktuelle Einnahmen'!A2:AF104,30,0),"")</f>
        <v>1</v>
      </c>
      <c r="M20" s="924">
        <f>IF(P20&gt;0,P20,"")</f>
        <v>90</v>
      </c>
      <c r="N20" s="924"/>
      <c r="O20" s="924"/>
      <c r="P20" s="921">
        <f>IF(L20=0,"",90)</f>
        <v>90</v>
      </c>
      <c r="Q20" s="922"/>
      <c r="R20" s="923"/>
      <c r="S20" s="463"/>
      <c r="T20" s="110"/>
      <c r="AB20" s="396"/>
      <c r="AC20" s="110"/>
    </row>
    <row r="21" spans="1:31" ht="22" customHeight="1">
      <c r="A21" s="917" t="s">
        <v>138</v>
      </c>
      <c r="B21" s="918"/>
      <c r="C21" s="918"/>
      <c r="D21" s="918"/>
      <c r="E21" s="918"/>
      <c r="F21" s="918"/>
      <c r="G21" s="918"/>
      <c r="H21" s="918"/>
      <c r="I21" s="918"/>
      <c r="J21" s="919"/>
      <c r="K21" s="140"/>
      <c r="L21" s="141" t="b">
        <f>IF(A21="Übernahme von ehrenamtlichen Betreuer",200,IF(A21="Übernahme von ehrenamtlichen Betreuer",200,IF(A21="Übergabe an ehrenamtlichen Betreuer",O12*1.5)))</f>
        <v>0</v>
      </c>
      <c r="M21" s="924" t="str">
        <f>IF(AND(ISNUMBER(L21), L21&gt;1), L21, "")</f>
        <v/>
      </c>
      <c r="N21" s="925"/>
      <c r="O21" s="925"/>
      <c r="P21" s="142"/>
      <c r="Q21" s="143"/>
      <c r="R21" s="143"/>
      <c r="S21" s="464"/>
      <c r="T21" s="110"/>
      <c r="U21" s="318"/>
      <c r="AB21" s="396"/>
      <c r="AC21" s="110"/>
    </row>
    <row r="22" spans="1:31" ht="27" customHeight="1">
      <c r="A22" s="957" t="str">
        <f>IF(OR(C12&lt;=0,ISBLANK(C12)),"Der erster Vergütungszeitraum ist noch nicht erreicht","")</f>
        <v/>
      </c>
      <c r="B22" s="958"/>
      <c r="C22" s="958"/>
      <c r="D22" s="959"/>
      <c r="E22" s="958"/>
      <c r="F22" s="958"/>
      <c r="G22" s="959"/>
      <c r="H22" s="958"/>
      <c r="I22" s="958"/>
      <c r="J22" s="959"/>
      <c r="K22" s="958"/>
      <c r="L22" s="958"/>
      <c r="M22" s="959"/>
      <c r="N22" s="958"/>
      <c r="O22" s="958"/>
      <c r="P22" s="959"/>
      <c r="Q22" s="958"/>
      <c r="R22" s="958"/>
      <c r="S22" s="960"/>
      <c r="T22" s="110"/>
      <c r="AB22" s="396"/>
      <c r="AC22" s="110"/>
    </row>
    <row r="23" spans="1:31" ht="23.25" customHeight="1">
      <c r="A23" s="911"/>
      <c r="B23" s="889"/>
      <c r="C23" s="889"/>
      <c r="D23" s="889"/>
      <c r="E23" s="889"/>
      <c r="F23" s="889"/>
      <c r="G23" s="889"/>
      <c r="H23" s="889"/>
      <c r="I23" s="889"/>
      <c r="J23" s="889"/>
      <c r="K23" s="889"/>
      <c r="L23" s="889"/>
      <c r="M23" s="889"/>
      <c r="N23" s="889"/>
      <c r="O23" s="889"/>
      <c r="P23" s="889"/>
      <c r="Q23" s="889"/>
      <c r="R23" s="889"/>
      <c r="S23" s="912"/>
      <c r="T23" s="110"/>
      <c r="AB23" s="396"/>
      <c r="AC23" s="110"/>
    </row>
    <row r="24" spans="1:31" ht="20" customHeight="1">
      <c r="A24" s="911"/>
      <c r="B24" s="889"/>
      <c r="C24" s="889"/>
      <c r="D24" s="889"/>
      <c r="E24" s="889"/>
      <c r="F24" s="889"/>
      <c r="G24" s="889"/>
      <c r="H24" s="889"/>
      <c r="I24" s="889"/>
      <c r="J24" s="889"/>
      <c r="K24" s="889"/>
      <c r="L24" s="889"/>
      <c r="M24" s="889"/>
      <c r="N24" s="889"/>
      <c r="O24" s="889"/>
      <c r="P24" s="889"/>
      <c r="Q24" s="889"/>
      <c r="R24" s="889"/>
      <c r="S24" s="912"/>
      <c r="T24" s="110"/>
      <c r="AB24" s="396"/>
      <c r="AC24" s="110"/>
    </row>
    <row r="25" spans="1:31" ht="20" customHeight="1">
      <c r="A25" s="913"/>
      <c r="B25" s="889"/>
      <c r="C25" s="889"/>
      <c r="D25" s="889"/>
      <c r="E25" s="889"/>
      <c r="F25" s="889"/>
      <c r="G25" s="889"/>
      <c r="H25" s="889"/>
      <c r="I25" s="889"/>
      <c r="J25" s="889"/>
      <c r="K25" s="889"/>
      <c r="L25" s="889"/>
      <c r="M25" s="889"/>
      <c r="N25" s="889"/>
      <c r="O25" s="889"/>
      <c r="P25" s="889"/>
      <c r="Q25" s="889"/>
      <c r="R25" s="889"/>
      <c r="S25" s="912"/>
      <c r="T25" s="110"/>
      <c r="AB25" s="396"/>
      <c r="AC25" s="110"/>
    </row>
    <row r="26" spans="1:31" ht="101" customHeight="1">
      <c r="A26" s="951" t="s">
        <v>114</v>
      </c>
      <c r="B26" s="952"/>
      <c r="C26" s="952"/>
      <c r="D26" s="952"/>
      <c r="E26" s="952"/>
      <c r="F26" s="952"/>
      <c r="G26" s="952"/>
      <c r="H26" s="952"/>
      <c r="I26" s="952"/>
      <c r="J26" s="952"/>
      <c r="K26" s="952"/>
      <c r="L26" s="952"/>
      <c r="M26" s="952"/>
      <c r="N26" s="952"/>
      <c r="O26" s="952"/>
      <c r="P26" s="952"/>
      <c r="Q26" s="952"/>
      <c r="R26" s="952"/>
      <c r="S26" s="953"/>
      <c r="T26" s="110"/>
      <c r="AB26" s="396"/>
      <c r="AC26" s="110"/>
    </row>
    <row r="27" spans="1:31" ht="20" customHeight="1">
      <c r="A27" s="954" t="str">
        <f>Anleitung!A45</f>
        <v>Betreuungsbüro Max Mustermann</v>
      </c>
      <c r="B27" s="955"/>
      <c r="C27" s="955"/>
      <c r="D27" s="955"/>
      <c r="E27" s="955"/>
      <c r="F27" s="955"/>
      <c r="G27" s="955"/>
      <c r="H27" s="955"/>
      <c r="I27" s="955"/>
      <c r="J27" s="955"/>
      <c r="K27" s="955"/>
      <c r="L27" s="955"/>
      <c r="M27" s="955"/>
      <c r="N27" s="955"/>
      <c r="O27" s="955"/>
      <c r="P27" s="955"/>
      <c r="Q27" s="955"/>
      <c r="R27" s="955"/>
      <c r="S27" s="956"/>
      <c r="T27" s="110"/>
      <c r="AB27" s="396"/>
      <c r="AC27" s="110"/>
    </row>
    <row r="28" spans="1:31" ht="150" customHeight="1">
      <c r="A28" s="458" t="e" vm="2">
        <f>IF(Anleitung!A51&lt;&gt;"", Anleitung!A51, "")</f>
        <v>#VALUE!</v>
      </c>
      <c r="B28" s="394"/>
      <c r="C28" s="394"/>
      <c r="D28" s="388"/>
      <c r="E28" s="388"/>
      <c r="F28" s="388"/>
      <c r="G28" s="388"/>
      <c r="H28" s="388"/>
      <c r="I28" s="388"/>
      <c r="J28" s="388"/>
      <c r="K28" s="388"/>
      <c r="L28" s="388"/>
      <c r="M28" s="388"/>
      <c r="N28" s="388"/>
      <c r="O28" s="388"/>
      <c r="P28" s="388"/>
      <c r="Q28" s="388"/>
      <c r="R28" s="388"/>
      <c r="S28" s="459"/>
      <c r="T28" s="110"/>
      <c r="AB28" s="396"/>
      <c r="AC28" s="110"/>
    </row>
    <row r="29" spans="1:31" ht="20" customHeight="1" thickBot="1">
      <c r="A29" s="948" t="str">
        <f>Anleitung!A49</f>
        <v xml:space="preserve">Bankverbindung: Max Muster IBAN: DE50 1234 5678 9102 9876 54 BIC: BANK23 											</v>
      </c>
      <c r="B29" s="949"/>
      <c r="C29" s="949"/>
      <c r="D29" s="949"/>
      <c r="E29" s="949"/>
      <c r="F29" s="949"/>
      <c r="G29" s="949"/>
      <c r="H29" s="949"/>
      <c r="I29" s="949"/>
      <c r="J29" s="949"/>
      <c r="K29" s="949"/>
      <c r="L29" s="949"/>
      <c r="M29" s="949"/>
      <c r="N29" s="949"/>
      <c r="O29" s="949"/>
      <c r="P29" s="949"/>
      <c r="Q29" s="949"/>
      <c r="R29" s="949"/>
      <c r="S29" s="950"/>
      <c r="T29" s="110"/>
      <c r="AB29" s="396"/>
      <c r="AC29" s="110"/>
    </row>
    <row r="30" spans="1:31" s="439" customFormat="1" ht="13" customHeight="1">
      <c r="A30" s="441"/>
      <c r="B30" s="442"/>
      <c r="C30" s="442"/>
      <c r="D30" s="442"/>
      <c r="E30" s="442"/>
      <c r="F30" s="442"/>
      <c r="G30" s="442"/>
      <c r="H30" s="442"/>
      <c r="I30" s="442"/>
      <c r="J30" s="442"/>
      <c r="K30" s="442"/>
      <c r="L30" s="442"/>
      <c r="M30" s="442"/>
      <c r="N30" s="442"/>
      <c r="O30" s="442"/>
      <c r="P30" s="442"/>
      <c r="Q30" s="442"/>
      <c r="R30" s="442"/>
      <c r="S30" s="443"/>
      <c r="AB30" s="460"/>
      <c r="AC30" s="461"/>
      <c r="AD30" s="461"/>
    </row>
    <row r="31" spans="1:31" ht="36" customHeight="1" thickBot="1">
      <c r="A31" s="971" t="s">
        <v>156</v>
      </c>
      <c r="B31" s="971"/>
      <c r="C31" s="971"/>
      <c r="D31" s="971"/>
      <c r="E31" s="971"/>
      <c r="F31" s="971"/>
      <c r="G31" s="971"/>
      <c r="H31" s="971"/>
      <c r="I31" s="971"/>
      <c r="J31" s="971"/>
      <c r="K31" s="971"/>
      <c r="L31" s="971"/>
      <c r="M31" s="971"/>
      <c r="N31" s="971"/>
      <c r="O31" s="971"/>
      <c r="P31" s="971"/>
      <c r="Q31" s="971"/>
      <c r="R31" s="971"/>
      <c r="S31" s="971"/>
      <c r="Y31" s="971" t="s">
        <v>155</v>
      </c>
      <c r="Z31" s="971"/>
      <c r="AA31" s="971"/>
      <c r="AB31" s="971"/>
      <c r="AC31" s="110"/>
    </row>
    <row r="32" spans="1:31" ht="20" customHeight="1">
      <c r="A32" s="934" t="str">
        <f>IFERROR(IF(ISBLANK(VLOOKUP(F32,'Aktuelle Einnahmen'!A2:G104,3,0)),"",VLOOKUP(F32,'Aktuelle Einnahmen'!A2:G104,3,0)),"")</f>
        <v>Anderson</v>
      </c>
      <c r="B32" s="935"/>
      <c r="C32" s="935"/>
      <c r="D32" s="935"/>
      <c r="E32" s="935"/>
      <c r="F32" s="404">
        <v>1</v>
      </c>
      <c r="G32" s="935" t="str">
        <f>IFERROR(IF(ISBLANK(VLOOKUP(K32,'Aktuelle Einnahmen'!A2:G104,3,0)),"",VLOOKUP(K32,'Aktuelle Einnahmen'!A2:G104,3,0)),"")</f>
        <v/>
      </c>
      <c r="H32" s="935"/>
      <c r="I32" s="935"/>
      <c r="J32" s="935"/>
      <c r="K32" s="325">
        <v>34</v>
      </c>
      <c r="L32" s="962"/>
      <c r="M32" s="935" t="str">
        <f>IFERROR(IF(ISBLANK(VLOOKUP(S32,'Aktuelle Einnahmen'!A2:G104,3,0)),"",VLOOKUP(S32,'Aktuelle Einnahmen'!A2:G104,3,0)),"")</f>
        <v/>
      </c>
      <c r="N32" s="935"/>
      <c r="O32" s="935"/>
      <c r="P32" s="935"/>
      <c r="Q32" s="935"/>
      <c r="R32" s="935"/>
      <c r="S32" s="326">
        <v>67</v>
      </c>
      <c r="U32" s="110" t="str">
        <f>IFERROR(INDEX($A$32:$A$64,MATCH(ROW(U32),V32:V64,0)),"")</f>
        <v/>
      </c>
      <c r="V32" s="403"/>
      <c r="W32" s="403"/>
      <c r="X32" s="426">
        <f>IFERROR(INDEX($F$32:$F$130, MATCH(Y32, $A$32:$A$130, 0)), "")</f>
        <v>1</v>
      </c>
      <c r="Y32" s="418" t="str" cm="1">
        <f t="array" ref="Y32:Y43">_xlfn._xlws.SORT(_xlfn._xlws.FILTER($A$32:$A$130, $A$32:$A$130&lt;&gt;""), 1, 1)</f>
        <v>Anderson</v>
      </c>
      <c r="Z32" s="419"/>
      <c r="AA32" s="404" t="str">
        <f>X82</f>
        <v/>
      </c>
      <c r="AB32" s="421" t="str">
        <f>IF(ISBLANK(Y82), "", Y82)</f>
        <v/>
      </c>
      <c r="AC32" s="110"/>
      <c r="AE32" s="110"/>
    </row>
    <row r="33" spans="1:31" ht="20" customHeight="1">
      <c r="A33" s="936" t="str">
        <f>IFERROR(IF(ISBLANK(VLOOKUP(F33,'Aktuelle Einnahmen'!A3:G105,3,0)),"",VLOOKUP(F33,'Aktuelle Einnahmen'!A3:G105,3,0)),"")</f>
        <v>Brown</v>
      </c>
      <c r="B33" s="937"/>
      <c r="C33" s="937"/>
      <c r="D33" s="937"/>
      <c r="E33" s="938"/>
      <c r="F33" s="405">
        <v>2</v>
      </c>
      <c r="G33" s="939" t="str">
        <f>IFERROR(IF(ISBLANK(VLOOKUP(K33,'Aktuelle Einnahmen'!A3:G105,3,0)),"",VLOOKUP(K33,'Aktuelle Einnahmen'!A3:G105,3,0)),"")</f>
        <v/>
      </c>
      <c r="H33" s="939"/>
      <c r="I33" s="939"/>
      <c r="J33" s="939"/>
      <c r="K33" s="324">
        <v>35</v>
      </c>
      <c r="L33" s="963"/>
      <c r="M33" s="939" t="str">
        <f>IFERROR(IF(ISBLANK(VLOOKUP(S33,'Aktuelle Einnahmen'!A3:G105,3,0)),"",VLOOKUP(S33,'Aktuelle Einnahmen'!A3:G105,3,0)),"")</f>
        <v/>
      </c>
      <c r="N33" s="939"/>
      <c r="O33" s="939"/>
      <c r="P33" s="939"/>
      <c r="Q33" s="939"/>
      <c r="R33" s="939"/>
      <c r="S33" s="327">
        <v>68</v>
      </c>
      <c r="U33" s="110" t="str">
        <f t="shared" ref="U33:U64" si="0">IFERROR(INDEX($A$32:$A$64,MATCH(ROW(U33),V33:V65,0)),"")</f>
        <v/>
      </c>
      <c r="V33" s="403"/>
      <c r="W33" s="403"/>
      <c r="X33" s="427">
        <f t="shared" ref="X33:X96" si="1">IFERROR(INDEX($F$32:$F$130, MATCH(Y33, $A$32:$A$130, 0)), "")</f>
        <v>2</v>
      </c>
      <c r="Y33" s="408" t="str">
        <v>Brown</v>
      </c>
      <c r="Z33" s="409"/>
      <c r="AA33" s="405" t="str">
        <f t="shared" ref="AA33:AA80" si="2">X83</f>
        <v/>
      </c>
      <c r="AB33" s="421" t="str">
        <f>IF(ISBLANK(Y83), "", Y83)</f>
        <v/>
      </c>
      <c r="AC33" s="110"/>
      <c r="AE33" s="110"/>
    </row>
    <row r="34" spans="1:31" ht="20" customHeight="1">
      <c r="A34" s="961" t="str">
        <f>IFERROR(IF(ISBLANK(VLOOKUP(F34,'Aktuelle Einnahmen'!A4:G106,3,0)),"",VLOOKUP(F34,'Aktuelle Einnahmen'!A4:G106,3,0)),"")</f>
        <v>Carter</v>
      </c>
      <c r="B34" s="939"/>
      <c r="C34" s="939"/>
      <c r="D34" s="939"/>
      <c r="E34" s="939"/>
      <c r="F34" s="405">
        <v>3</v>
      </c>
      <c r="G34" s="939" t="str">
        <f>IFERROR(IF(ISBLANK(VLOOKUP(K34,'Aktuelle Einnahmen'!A4:G106,3,0)),"",VLOOKUP(K34,'Aktuelle Einnahmen'!A4:G106,3,0)),"")</f>
        <v/>
      </c>
      <c r="H34" s="939"/>
      <c r="I34" s="939"/>
      <c r="J34" s="939"/>
      <c r="K34" s="324">
        <v>36</v>
      </c>
      <c r="L34" s="963"/>
      <c r="M34" s="939" t="str">
        <f>IFERROR(IF(ISBLANK(VLOOKUP(S34,'Aktuelle Einnahmen'!A4:G106,3,0)),"",VLOOKUP(S34,'Aktuelle Einnahmen'!A4:G106,3,0)),"")</f>
        <v/>
      </c>
      <c r="N34" s="939"/>
      <c r="O34" s="939"/>
      <c r="P34" s="939"/>
      <c r="Q34" s="939"/>
      <c r="R34" s="939"/>
      <c r="S34" s="327">
        <v>69</v>
      </c>
      <c r="U34" s="110" t="str">
        <f t="shared" si="0"/>
        <v/>
      </c>
      <c r="V34" s="403"/>
      <c r="W34" s="403"/>
      <c r="X34" s="427">
        <f t="shared" si="1"/>
        <v>3</v>
      </c>
      <c r="Y34" s="408" t="str">
        <v>Carter</v>
      </c>
      <c r="Z34" s="409"/>
      <c r="AA34" s="405" t="str">
        <f t="shared" si="2"/>
        <v/>
      </c>
      <c r="AB34" s="421" t="str">
        <f t="shared" ref="AB34:AB80" si="3">IF(ISBLANK(Y84), "", Y84)</f>
        <v/>
      </c>
      <c r="AC34" s="110"/>
      <c r="AE34" s="110"/>
    </row>
    <row r="35" spans="1:31" ht="20" customHeight="1">
      <c r="A35" s="961" t="str">
        <f>IFERROR(IF(ISBLANK(VLOOKUP(F35,'Aktuelle Einnahmen'!A5:G107,3,0)),"",VLOOKUP(F35,'Aktuelle Einnahmen'!A5:G107,3,0)),"")</f>
        <v>Davis</v>
      </c>
      <c r="B35" s="939"/>
      <c r="C35" s="939"/>
      <c r="D35" s="939"/>
      <c r="E35" s="939"/>
      <c r="F35" s="405">
        <v>4</v>
      </c>
      <c r="G35" s="939" t="str">
        <f>IFERROR(IF(ISBLANK(VLOOKUP(K35,'Aktuelle Einnahmen'!A5:G107,3,0)),"",VLOOKUP(K35,'Aktuelle Einnahmen'!A5:G107,3,0)),"")</f>
        <v/>
      </c>
      <c r="H35" s="939"/>
      <c r="I35" s="939"/>
      <c r="J35" s="939"/>
      <c r="K35" s="324">
        <v>37</v>
      </c>
      <c r="L35" s="963"/>
      <c r="M35" s="939" t="str">
        <f>IFERROR(IF(ISBLANK(VLOOKUP(S35,'Aktuelle Einnahmen'!A5:G107,3,0)),"",VLOOKUP(S35,'Aktuelle Einnahmen'!A5:G107,3,0)),"")</f>
        <v/>
      </c>
      <c r="N35" s="939"/>
      <c r="O35" s="939"/>
      <c r="P35" s="939"/>
      <c r="Q35" s="939"/>
      <c r="R35" s="939"/>
      <c r="S35" s="327">
        <v>70</v>
      </c>
      <c r="U35" s="110" t="str">
        <f t="shared" si="0"/>
        <v/>
      </c>
      <c r="V35" s="403"/>
      <c r="W35" s="403"/>
      <c r="X35" s="427">
        <f t="shared" si="1"/>
        <v>4</v>
      </c>
      <c r="Y35" s="408" t="str">
        <v>Davis</v>
      </c>
      <c r="Z35" s="409"/>
      <c r="AA35" s="405" t="str">
        <f t="shared" si="2"/>
        <v/>
      </c>
      <c r="AB35" s="421" t="str">
        <f t="shared" si="3"/>
        <v/>
      </c>
      <c r="AC35" s="110"/>
      <c r="AE35" s="110"/>
    </row>
    <row r="36" spans="1:31" ht="20" customHeight="1">
      <c r="A36" s="961" t="str">
        <f>IFERROR(IF(ISBLANK(VLOOKUP(F36,'Aktuelle Einnahmen'!A6:G108,3,0)),"",VLOOKUP(F36,'Aktuelle Einnahmen'!A6:G108,3,0)),"")</f>
        <v>Evians</v>
      </c>
      <c r="B36" s="939"/>
      <c r="C36" s="939"/>
      <c r="D36" s="939"/>
      <c r="E36" s="939"/>
      <c r="F36" s="405">
        <v>5</v>
      </c>
      <c r="G36" s="939" t="str">
        <f>IFERROR(IF(ISBLANK(VLOOKUP(K36,'Aktuelle Einnahmen'!A6:G108,3,0)),"",VLOOKUP(K36,'Aktuelle Einnahmen'!A6:G108,3,0)),"")</f>
        <v/>
      </c>
      <c r="H36" s="939"/>
      <c r="I36" s="939"/>
      <c r="J36" s="939"/>
      <c r="K36" s="324">
        <v>38</v>
      </c>
      <c r="L36" s="963"/>
      <c r="M36" s="939" t="str">
        <f>IFERROR(IF(ISBLANK(VLOOKUP(S36,'Aktuelle Einnahmen'!A6:G108,3,0)),"",VLOOKUP(S36,'Aktuelle Einnahmen'!A6:G108,3,0)),"")</f>
        <v/>
      </c>
      <c r="N36" s="939"/>
      <c r="O36" s="939"/>
      <c r="P36" s="939"/>
      <c r="Q36" s="939"/>
      <c r="R36" s="939"/>
      <c r="S36" s="327">
        <v>71</v>
      </c>
      <c r="U36" s="110" t="str">
        <f t="shared" si="0"/>
        <v/>
      </c>
      <c r="V36" s="403"/>
      <c r="W36" s="403"/>
      <c r="X36" s="427">
        <f t="shared" si="1"/>
        <v>5</v>
      </c>
      <c r="Y36" s="408" t="str">
        <v>Evians</v>
      </c>
      <c r="Z36" s="409"/>
      <c r="AA36" s="405" t="str">
        <f t="shared" si="2"/>
        <v/>
      </c>
      <c r="AB36" s="421" t="str">
        <f t="shared" si="3"/>
        <v/>
      </c>
      <c r="AC36" s="110"/>
      <c r="AE36" s="110"/>
    </row>
    <row r="37" spans="1:31" ht="20" customHeight="1">
      <c r="A37" s="961" t="str">
        <f>IFERROR(IF(ISBLANK(VLOOKUP(F37,'Aktuelle Einnahmen'!A7:G109,3,0)),"",VLOOKUP(F37,'Aktuelle Einnahmen'!A7:G109,3,0)),"")</f>
        <v>Fischer</v>
      </c>
      <c r="B37" s="939"/>
      <c r="C37" s="939"/>
      <c r="D37" s="939"/>
      <c r="E37" s="939"/>
      <c r="F37" s="405">
        <v>6</v>
      </c>
      <c r="G37" s="939" t="str">
        <f>IFERROR(IF(ISBLANK(VLOOKUP(K37,'Aktuelle Einnahmen'!A7:G109,3,0)),"",VLOOKUP(K37,'Aktuelle Einnahmen'!A7:G109,3,0)),"")</f>
        <v/>
      </c>
      <c r="H37" s="939"/>
      <c r="I37" s="939"/>
      <c r="J37" s="939"/>
      <c r="K37" s="324">
        <v>39</v>
      </c>
      <c r="L37" s="963"/>
      <c r="M37" s="939" t="str">
        <f>IFERROR(IF(ISBLANK(VLOOKUP(S37,'Aktuelle Einnahmen'!A7:G109,3,0)),"",VLOOKUP(S37,'Aktuelle Einnahmen'!A7:G109,3,0)),"")</f>
        <v/>
      </c>
      <c r="N37" s="939"/>
      <c r="O37" s="939"/>
      <c r="P37" s="939"/>
      <c r="Q37" s="939"/>
      <c r="R37" s="939"/>
      <c r="S37" s="327">
        <v>72</v>
      </c>
      <c r="U37" s="110" t="str">
        <f t="shared" si="0"/>
        <v/>
      </c>
      <c r="V37" s="403"/>
      <c r="W37" s="403"/>
      <c r="X37" s="427">
        <f t="shared" si="1"/>
        <v>6</v>
      </c>
      <c r="Y37" s="408" t="str">
        <v>Fischer</v>
      </c>
      <c r="Z37" s="409"/>
      <c r="AA37" s="405" t="str">
        <f t="shared" si="2"/>
        <v/>
      </c>
      <c r="AB37" s="421" t="str">
        <f t="shared" si="3"/>
        <v/>
      </c>
      <c r="AC37" s="110"/>
      <c r="AE37" s="110"/>
    </row>
    <row r="38" spans="1:31" ht="20" customHeight="1">
      <c r="A38" s="961" t="str">
        <f>IFERROR(IF(ISBLANK(VLOOKUP(F38,'Aktuelle Einnahmen'!A8:G110,3,0)),"",VLOOKUP(F38,'Aktuelle Einnahmen'!A8:G110,3,0)),"")</f>
        <v>Gracia</v>
      </c>
      <c r="B38" s="939"/>
      <c r="C38" s="939"/>
      <c r="D38" s="939"/>
      <c r="E38" s="939"/>
      <c r="F38" s="405">
        <v>7</v>
      </c>
      <c r="G38" s="939" t="str">
        <f>IFERROR(IF(ISBLANK(VLOOKUP(K38,'Aktuelle Einnahmen'!A8:G110,3,0)),"",VLOOKUP(K38,'Aktuelle Einnahmen'!A8:G110,3,0)),"")</f>
        <v/>
      </c>
      <c r="H38" s="939"/>
      <c r="I38" s="939"/>
      <c r="J38" s="939"/>
      <c r="K38" s="324">
        <v>40</v>
      </c>
      <c r="L38" s="963"/>
      <c r="M38" s="939" t="str">
        <f>IFERROR(IF(ISBLANK(VLOOKUP(S38,'Aktuelle Einnahmen'!A8:G110,3,0)),"",VLOOKUP(S38,'Aktuelle Einnahmen'!A8:G110,3,0)),"")</f>
        <v/>
      </c>
      <c r="N38" s="939"/>
      <c r="O38" s="939"/>
      <c r="P38" s="939"/>
      <c r="Q38" s="939"/>
      <c r="R38" s="939"/>
      <c r="S38" s="327">
        <v>73</v>
      </c>
      <c r="U38" s="110" t="str">
        <f t="shared" si="0"/>
        <v/>
      </c>
      <c r="V38" s="403"/>
      <c r="W38" s="403"/>
      <c r="X38" s="427">
        <f t="shared" si="1"/>
        <v>7</v>
      </c>
      <c r="Y38" s="408" t="str">
        <v>Gracia</v>
      </c>
      <c r="Z38" s="409"/>
      <c r="AA38" s="405" t="str">
        <f t="shared" si="2"/>
        <v/>
      </c>
      <c r="AB38" s="421" t="str">
        <f t="shared" si="3"/>
        <v/>
      </c>
      <c r="AC38" s="110"/>
      <c r="AE38" s="110"/>
    </row>
    <row r="39" spans="1:31" ht="20" customHeight="1">
      <c r="A39" s="961" t="str">
        <f>IFERROR(IF(ISBLANK(VLOOKUP(F39,'Aktuelle Einnahmen'!A9:G111,3,0)),"",VLOOKUP(F39,'Aktuelle Einnahmen'!A9:G111,3,0)),"")</f>
        <v>Harris</v>
      </c>
      <c r="B39" s="939"/>
      <c r="C39" s="939"/>
      <c r="D39" s="939"/>
      <c r="E39" s="939"/>
      <c r="F39" s="405">
        <v>8</v>
      </c>
      <c r="G39" s="939" t="str">
        <f>IFERROR(IF(ISBLANK(VLOOKUP(K39,'Aktuelle Einnahmen'!A9:G111,3,0)),"",VLOOKUP(K39,'Aktuelle Einnahmen'!A9:G111,3,0)),"")</f>
        <v/>
      </c>
      <c r="H39" s="939"/>
      <c r="I39" s="939"/>
      <c r="J39" s="939"/>
      <c r="K39" s="324">
        <v>41</v>
      </c>
      <c r="L39" s="963"/>
      <c r="M39" s="939" t="str">
        <f>IFERROR(IF(ISBLANK(VLOOKUP(S39,'Aktuelle Einnahmen'!A9:G111,3,0)),"",VLOOKUP(S39,'Aktuelle Einnahmen'!A9:G111,3,0)),"")</f>
        <v/>
      </c>
      <c r="N39" s="939"/>
      <c r="O39" s="939"/>
      <c r="P39" s="939"/>
      <c r="Q39" s="939"/>
      <c r="R39" s="939"/>
      <c r="S39" s="327">
        <v>74</v>
      </c>
      <c r="U39" s="110" t="str">
        <f t="shared" si="0"/>
        <v/>
      </c>
      <c r="V39" s="403"/>
      <c r="W39" s="403"/>
      <c r="X39" s="427">
        <f t="shared" si="1"/>
        <v>8</v>
      </c>
      <c r="Y39" s="408" t="str">
        <v>Harris</v>
      </c>
      <c r="Z39" s="409"/>
      <c r="AA39" s="405" t="str">
        <f t="shared" si="2"/>
        <v/>
      </c>
      <c r="AB39" s="421" t="str">
        <f t="shared" si="3"/>
        <v/>
      </c>
      <c r="AC39" s="110"/>
      <c r="AE39" s="110"/>
    </row>
    <row r="40" spans="1:31" ht="20" customHeight="1">
      <c r="A40" s="961" t="str">
        <f>IFERROR(IF(ISBLANK(VLOOKUP(F40,'Aktuelle Einnahmen'!A10:G112,3,0)),"",VLOOKUP(F40,'Aktuelle Einnahmen'!A10:G112,3,0)),"")</f>
        <v>Irving</v>
      </c>
      <c r="B40" s="939"/>
      <c r="C40" s="939"/>
      <c r="D40" s="939"/>
      <c r="E40" s="939"/>
      <c r="F40" s="405">
        <v>9</v>
      </c>
      <c r="G40" s="939" t="str">
        <f>IFERROR(IF(ISBLANK(VLOOKUP(K40,'Aktuelle Einnahmen'!A10:G112,3,0)),"",VLOOKUP(K40,'Aktuelle Einnahmen'!A10:G112,3,0)),"")</f>
        <v/>
      </c>
      <c r="H40" s="939"/>
      <c r="I40" s="939"/>
      <c r="J40" s="939"/>
      <c r="K40" s="324">
        <v>42</v>
      </c>
      <c r="L40" s="963"/>
      <c r="M40" s="939" t="str">
        <f>IFERROR(IF(ISBLANK(VLOOKUP(S40,'Aktuelle Einnahmen'!A10:G112,3,0)),"",VLOOKUP(S40,'Aktuelle Einnahmen'!A10:G112,3,0)),"")</f>
        <v/>
      </c>
      <c r="N40" s="939"/>
      <c r="O40" s="939"/>
      <c r="P40" s="939"/>
      <c r="Q40" s="939"/>
      <c r="R40" s="939"/>
      <c r="S40" s="327">
        <v>75</v>
      </c>
      <c r="U40" s="110" t="str">
        <f t="shared" si="0"/>
        <v/>
      </c>
      <c r="V40" s="403"/>
      <c r="W40" s="403"/>
      <c r="X40" s="427">
        <f t="shared" si="1"/>
        <v>9</v>
      </c>
      <c r="Y40" s="408" t="str">
        <v>Irving</v>
      </c>
      <c r="Z40" s="409"/>
      <c r="AA40" s="405" t="str">
        <f t="shared" si="2"/>
        <v/>
      </c>
      <c r="AB40" s="421" t="str">
        <f t="shared" si="3"/>
        <v/>
      </c>
      <c r="AC40" s="110"/>
      <c r="AE40" s="110"/>
    </row>
    <row r="41" spans="1:31" ht="20" customHeight="1">
      <c r="A41" s="961" t="str">
        <f>IFERROR(IF(ISBLANK(VLOOKUP(F41,'Aktuelle Einnahmen'!A11:G113,3,0)),"",VLOOKUP(F41,'Aktuelle Einnahmen'!A11:G113,3,0)),"")</f>
        <v>Johnson</v>
      </c>
      <c r="B41" s="939"/>
      <c r="C41" s="939"/>
      <c r="D41" s="939"/>
      <c r="E41" s="939"/>
      <c r="F41" s="405">
        <v>10</v>
      </c>
      <c r="G41" s="939" t="str">
        <f>IFERROR(IF(ISBLANK(VLOOKUP(K41,'Aktuelle Einnahmen'!A11:G113,3,0)),"",VLOOKUP(K41,'Aktuelle Einnahmen'!A11:G113,3,0)),"")</f>
        <v/>
      </c>
      <c r="H41" s="939"/>
      <c r="I41" s="939"/>
      <c r="J41" s="939"/>
      <c r="K41" s="324">
        <v>43</v>
      </c>
      <c r="L41" s="963"/>
      <c r="M41" s="939" t="str">
        <f>IFERROR(IF(ISBLANK(VLOOKUP(S41,'Aktuelle Einnahmen'!A11:G113,3,0)),"",VLOOKUP(S41,'Aktuelle Einnahmen'!A11:G113,3,0)),"")</f>
        <v/>
      </c>
      <c r="N41" s="939"/>
      <c r="O41" s="939"/>
      <c r="P41" s="939"/>
      <c r="Q41" s="939"/>
      <c r="R41" s="939"/>
      <c r="S41" s="327">
        <v>76</v>
      </c>
      <c r="U41" s="110" t="str">
        <f t="shared" si="0"/>
        <v/>
      </c>
      <c r="V41" s="403"/>
      <c r="W41" s="403"/>
      <c r="X41" s="427">
        <f t="shared" si="1"/>
        <v>10</v>
      </c>
      <c r="Y41" s="408" t="str">
        <v>Johnson</v>
      </c>
      <c r="Z41" s="409"/>
      <c r="AA41" s="405" t="str">
        <f t="shared" si="2"/>
        <v/>
      </c>
      <c r="AB41" s="421" t="str">
        <f t="shared" si="3"/>
        <v/>
      </c>
      <c r="AC41" s="110"/>
      <c r="AE41" s="110"/>
    </row>
    <row r="42" spans="1:31" ht="20" customHeight="1">
      <c r="A42" s="961" t="str">
        <f>IFERROR(IF(ISBLANK(VLOOKUP(F42,'Aktuelle Einnahmen'!A12:G114,3,0)),"",VLOOKUP(F42,'Aktuelle Einnahmen'!A12:G114,3,0)),"")</f>
        <v>Kelly</v>
      </c>
      <c r="B42" s="939"/>
      <c r="C42" s="939"/>
      <c r="D42" s="939"/>
      <c r="E42" s="939"/>
      <c r="F42" s="405">
        <v>11</v>
      </c>
      <c r="G42" s="939" t="str">
        <f>IFERROR(IF(ISBLANK(VLOOKUP(K42,'Aktuelle Einnahmen'!A12:G114,3,0)),"",VLOOKUP(K42,'Aktuelle Einnahmen'!A12:G114,3,0)),"")</f>
        <v/>
      </c>
      <c r="H42" s="939"/>
      <c r="I42" s="939"/>
      <c r="J42" s="939"/>
      <c r="K42" s="324">
        <v>44</v>
      </c>
      <c r="L42" s="963"/>
      <c r="M42" s="939" t="str">
        <f>IFERROR(IF(ISBLANK(VLOOKUP(S42,'Aktuelle Einnahmen'!A12:G114,3,0)),"",VLOOKUP(S42,'Aktuelle Einnahmen'!A12:G114,3,0)),"")</f>
        <v/>
      </c>
      <c r="N42" s="939"/>
      <c r="O42" s="939"/>
      <c r="P42" s="939"/>
      <c r="Q42" s="939"/>
      <c r="R42" s="939"/>
      <c r="S42" s="327">
        <v>77</v>
      </c>
      <c r="U42" s="110" t="str">
        <f t="shared" si="0"/>
        <v/>
      </c>
      <c r="V42" s="403"/>
      <c r="W42" s="403"/>
      <c r="X42" s="427">
        <f t="shared" si="1"/>
        <v>11</v>
      </c>
      <c r="Y42" s="408" t="str">
        <v>Kelly</v>
      </c>
      <c r="Z42" s="409"/>
      <c r="AA42" s="405" t="str">
        <f t="shared" si="2"/>
        <v/>
      </c>
      <c r="AB42" s="421" t="str">
        <f t="shared" si="3"/>
        <v/>
      </c>
      <c r="AC42" s="110"/>
      <c r="AE42" s="110"/>
    </row>
    <row r="43" spans="1:31" ht="20" customHeight="1">
      <c r="A43" s="961" t="str">
        <f>IFERROR(IF(ISBLANK(VLOOKUP(F43,'Aktuelle Einnahmen'!A13:G115,3,0)),"",VLOOKUP(F43,'Aktuelle Einnahmen'!A13:G115,3,0)),"")</f>
        <v>Lopez</v>
      </c>
      <c r="B43" s="939"/>
      <c r="C43" s="939"/>
      <c r="D43" s="939"/>
      <c r="E43" s="939"/>
      <c r="F43" s="405">
        <v>12</v>
      </c>
      <c r="G43" s="939" t="str">
        <f>IFERROR(IF(ISBLANK(VLOOKUP(K43,'Aktuelle Einnahmen'!A13:G115,3,0)),"",VLOOKUP(K43,'Aktuelle Einnahmen'!A13:G115,3,0)),"")</f>
        <v/>
      </c>
      <c r="H43" s="939"/>
      <c r="I43" s="939"/>
      <c r="J43" s="939"/>
      <c r="K43" s="324">
        <v>45</v>
      </c>
      <c r="L43" s="963"/>
      <c r="M43" s="939" t="str">
        <f>IFERROR(IF(ISBLANK(VLOOKUP(S43,'Aktuelle Einnahmen'!A13:G115,3,0)),"",VLOOKUP(S43,'Aktuelle Einnahmen'!A13:G115,3,0)),"")</f>
        <v/>
      </c>
      <c r="N43" s="939"/>
      <c r="O43" s="939"/>
      <c r="P43" s="939"/>
      <c r="Q43" s="939"/>
      <c r="R43" s="939"/>
      <c r="S43" s="327">
        <v>78</v>
      </c>
      <c r="U43" s="110" t="str">
        <f t="shared" si="0"/>
        <v/>
      </c>
      <c r="V43" s="403"/>
      <c r="W43" s="403"/>
      <c r="X43" s="427">
        <f t="shared" si="1"/>
        <v>12</v>
      </c>
      <c r="Y43" s="408" t="str">
        <v>Lopez</v>
      </c>
      <c r="Z43" s="409"/>
      <c r="AA43" s="405" t="str">
        <f t="shared" si="2"/>
        <v/>
      </c>
      <c r="AB43" s="421" t="str">
        <f t="shared" si="3"/>
        <v/>
      </c>
      <c r="AC43" s="110"/>
      <c r="AE43" s="110"/>
    </row>
    <row r="44" spans="1:31" ht="20" customHeight="1">
      <c r="A44" s="961" t="str">
        <f>IFERROR(IF(ISBLANK(VLOOKUP(F44,'Aktuelle Einnahmen'!A14:G116,3,0)),"",VLOOKUP(F44,'Aktuelle Einnahmen'!A14:G116,3,0)),"")</f>
        <v/>
      </c>
      <c r="B44" s="939"/>
      <c r="C44" s="939"/>
      <c r="D44" s="939"/>
      <c r="E44" s="939"/>
      <c r="F44" s="405">
        <v>13</v>
      </c>
      <c r="G44" s="939" t="str">
        <f>IFERROR(IF(ISBLANK(VLOOKUP(K44,'Aktuelle Einnahmen'!A14:G116,3,0)),"",VLOOKUP(K44,'Aktuelle Einnahmen'!A14:G116,3,0)),"")</f>
        <v/>
      </c>
      <c r="H44" s="939"/>
      <c r="I44" s="939"/>
      <c r="J44" s="939"/>
      <c r="K44" s="324">
        <v>46</v>
      </c>
      <c r="L44" s="963"/>
      <c r="M44" s="939" t="str">
        <f>IFERROR(IF(ISBLANK(VLOOKUP(S44,'Aktuelle Einnahmen'!A14:G116,3,0)),"",VLOOKUP(S44,'Aktuelle Einnahmen'!A14:G116,3,0)),"")</f>
        <v/>
      </c>
      <c r="N44" s="939"/>
      <c r="O44" s="939"/>
      <c r="P44" s="939"/>
      <c r="Q44" s="939"/>
      <c r="R44" s="939"/>
      <c r="S44" s="327">
        <v>79</v>
      </c>
      <c r="U44" s="110" t="str">
        <f t="shared" si="0"/>
        <v/>
      </c>
      <c r="V44" s="403"/>
      <c r="W44" s="403"/>
      <c r="X44" s="427" t="str">
        <f t="shared" si="1"/>
        <v/>
      </c>
      <c r="Y44" s="408"/>
      <c r="Z44" s="409"/>
      <c r="AA44" s="405" t="str">
        <f t="shared" si="2"/>
        <v/>
      </c>
      <c r="AB44" s="421" t="str">
        <f t="shared" si="3"/>
        <v/>
      </c>
      <c r="AC44" s="110"/>
      <c r="AE44" s="110"/>
    </row>
    <row r="45" spans="1:31" ht="20" customHeight="1">
      <c r="A45" s="961" t="str">
        <f>IFERROR(IF(ISBLANK(VLOOKUP(F45,'Aktuelle Einnahmen'!A15:G117,3,0)),"",VLOOKUP(F45,'Aktuelle Einnahmen'!A15:G117,3,0)),"")</f>
        <v/>
      </c>
      <c r="B45" s="939"/>
      <c r="C45" s="939"/>
      <c r="D45" s="939"/>
      <c r="E45" s="939"/>
      <c r="F45" s="405">
        <v>14</v>
      </c>
      <c r="G45" s="939" t="str">
        <f>IFERROR(IF(ISBLANK(VLOOKUP(K45,'Aktuelle Einnahmen'!A15:G117,3,0)),"",VLOOKUP(K45,'Aktuelle Einnahmen'!A15:G117,3,0)),"")</f>
        <v/>
      </c>
      <c r="H45" s="939"/>
      <c r="I45" s="939"/>
      <c r="J45" s="939"/>
      <c r="K45" s="324">
        <v>47</v>
      </c>
      <c r="L45" s="963"/>
      <c r="M45" s="939" t="str">
        <f>IFERROR(IF(ISBLANK(VLOOKUP(S45,'Aktuelle Einnahmen'!A15:G117,3,0)),"",VLOOKUP(S45,'Aktuelle Einnahmen'!A15:G117,3,0)),"")</f>
        <v/>
      </c>
      <c r="N45" s="939"/>
      <c r="O45" s="939"/>
      <c r="P45" s="939"/>
      <c r="Q45" s="939"/>
      <c r="R45" s="939"/>
      <c r="S45" s="327">
        <v>80</v>
      </c>
      <c r="U45" s="110" t="str">
        <f t="shared" si="0"/>
        <v/>
      </c>
      <c r="V45" s="403"/>
      <c r="W45" s="403"/>
      <c r="X45" s="427" t="str">
        <f t="shared" si="1"/>
        <v/>
      </c>
      <c r="Y45" s="408"/>
      <c r="Z45" s="409"/>
      <c r="AA45" s="405" t="str">
        <f t="shared" si="2"/>
        <v/>
      </c>
      <c r="AB45" s="421" t="str">
        <f t="shared" si="3"/>
        <v/>
      </c>
      <c r="AC45" s="110"/>
      <c r="AE45" s="110"/>
    </row>
    <row r="46" spans="1:31" ht="20" customHeight="1">
      <c r="A46" s="961" t="str">
        <f>IFERROR(IF(ISBLANK(VLOOKUP(F46,'Aktuelle Einnahmen'!A16:G118,3,0)),"",VLOOKUP(F46,'Aktuelle Einnahmen'!A16:G118,3,0)),"")</f>
        <v/>
      </c>
      <c r="B46" s="939"/>
      <c r="C46" s="939"/>
      <c r="D46" s="939"/>
      <c r="E46" s="939"/>
      <c r="F46" s="405">
        <v>15</v>
      </c>
      <c r="G46" s="939" t="str">
        <f>IFERROR(IF(ISBLANK(VLOOKUP(K46,'Aktuelle Einnahmen'!A16:G118,3,0)),"",VLOOKUP(K46,'Aktuelle Einnahmen'!A16:G118,3,0)),"")</f>
        <v/>
      </c>
      <c r="H46" s="939"/>
      <c r="I46" s="939"/>
      <c r="J46" s="939"/>
      <c r="K46" s="324">
        <v>48</v>
      </c>
      <c r="L46" s="963"/>
      <c r="M46" s="939" t="str">
        <f>IFERROR(IF(ISBLANK(VLOOKUP(S46,'Aktuelle Einnahmen'!A16:G118,3,0)),"",VLOOKUP(S46,'Aktuelle Einnahmen'!A16:G118,3,0)),"")</f>
        <v/>
      </c>
      <c r="N46" s="939"/>
      <c r="O46" s="939"/>
      <c r="P46" s="939"/>
      <c r="Q46" s="939"/>
      <c r="R46" s="939"/>
      <c r="S46" s="327">
        <v>81</v>
      </c>
      <c r="U46" s="110" t="str">
        <f t="shared" si="0"/>
        <v/>
      </c>
      <c r="V46" s="403"/>
      <c r="W46" s="403"/>
      <c r="X46" s="427" t="str">
        <f t="shared" si="1"/>
        <v/>
      </c>
      <c r="Y46" s="408"/>
      <c r="Z46" s="409"/>
      <c r="AA46" s="405" t="str">
        <f t="shared" si="2"/>
        <v/>
      </c>
      <c r="AB46" s="421" t="str">
        <f t="shared" si="3"/>
        <v/>
      </c>
      <c r="AC46" s="110"/>
      <c r="AE46" s="110"/>
    </row>
    <row r="47" spans="1:31" ht="20" customHeight="1">
      <c r="A47" s="961" t="str">
        <f>IFERROR(IF(ISBLANK(VLOOKUP(F47,'Aktuelle Einnahmen'!A17:G119,3,0)),"",VLOOKUP(F47,'Aktuelle Einnahmen'!A17:G119,3,0)),"")</f>
        <v/>
      </c>
      <c r="B47" s="939"/>
      <c r="C47" s="939"/>
      <c r="D47" s="939"/>
      <c r="E47" s="939"/>
      <c r="F47" s="405">
        <v>16</v>
      </c>
      <c r="G47" s="939" t="str">
        <f>IFERROR(IF(ISBLANK(VLOOKUP(K47,'Aktuelle Einnahmen'!A17:G119,3,0)),"",VLOOKUP(K47,'Aktuelle Einnahmen'!A17:G119,3,0)),"")</f>
        <v/>
      </c>
      <c r="H47" s="939"/>
      <c r="I47" s="939"/>
      <c r="J47" s="939"/>
      <c r="K47" s="324">
        <v>49</v>
      </c>
      <c r="L47" s="963"/>
      <c r="M47" s="939" t="str">
        <f>IFERROR(IF(ISBLANK(VLOOKUP(S47,'Aktuelle Einnahmen'!A17:G119,3,0)),"",VLOOKUP(S47,'Aktuelle Einnahmen'!A17:G119,3,0)),"")</f>
        <v/>
      </c>
      <c r="N47" s="939"/>
      <c r="O47" s="939"/>
      <c r="P47" s="939"/>
      <c r="Q47" s="939"/>
      <c r="R47" s="939"/>
      <c r="S47" s="327">
        <v>82</v>
      </c>
      <c r="U47" s="110" t="str">
        <f t="shared" si="0"/>
        <v/>
      </c>
      <c r="V47" s="403"/>
      <c r="W47" s="403"/>
      <c r="X47" s="427" t="str">
        <f t="shared" si="1"/>
        <v/>
      </c>
      <c r="Y47" s="408"/>
      <c r="Z47" s="409"/>
      <c r="AA47" s="405" t="str">
        <f t="shared" si="2"/>
        <v/>
      </c>
      <c r="AB47" s="421" t="str">
        <f t="shared" si="3"/>
        <v/>
      </c>
      <c r="AC47" s="110"/>
      <c r="AE47" s="110"/>
    </row>
    <row r="48" spans="1:31" ht="20" customHeight="1">
      <c r="A48" s="961" t="str">
        <f>IFERROR(IF(ISBLANK(VLOOKUP(F48,'Aktuelle Einnahmen'!A18:G120,3,0)),"",VLOOKUP(F48,'Aktuelle Einnahmen'!A18:G120,3,0)),"")</f>
        <v/>
      </c>
      <c r="B48" s="939"/>
      <c r="C48" s="939"/>
      <c r="D48" s="939"/>
      <c r="E48" s="939"/>
      <c r="F48" s="405">
        <v>17</v>
      </c>
      <c r="G48" s="939" t="str">
        <f>IFERROR(IF(ISBLANK(VLOOKUP(K48,'Aktuelle Einnahmen'!A18:G120,3,0)),"",VLOOKUP(K48,'Aktuelle Einnahmen'!A18:G120,3,0)),"")</f>
        <v/>
      </c>
      <c r="H48" s="939"/>
      <c r="I48" s="939"/>
      <c r="J48" s="939"/>
      <c r="K48" s="324">
        <v>50</v>
      </c>
      <c r="L48" s="963"/>
      <c r="M48" s="939" t="str">
        <f>IFERROR(IF(ISBLANK(VLOOKUP(S48,'Aktuelle Einnahmen'!A18:G120,3,0)),"",VLOOKUP(S48,'Aktuelle Einnahmen'!A18:G120,3,0)),"")</f>
        <v/>
      </c>
      <c r="N48" s="939"/>
      <c r="O48" s="939"/>
      <c r="P48" s="939"/>
      <c r="Q48" s="939"/>
      <c r="R48" s="939"/>
      <c r="S48" s="327">
        <v>83</v>
      </c>
      <c r="U48" s="110" t="str">
        <f t="shared" si="0"/>
        <v/>
      </c>
      <c r="V48" s="403"/>
      <c r="W48" s="403"/>
      <c r="X48" s="427" t="str">
        <f t="shared" si="1"/>
        <v/>
      </c>
      <c r="Y48" s="408"/>
      <c r="Z48" s="409"/>
      <c r="AA48" s="405" t="str">
        <f t="shared" si="2"/>
        <v/>
      </c>
      <c r="AB48" s="421" t="str">
        <f t="shared" si="3"/>
        <v/>
      </c>
      <c r="AC48" s="110"/>
      <c r="AE48" s="110"/>
    </row>
    <row r="49" spans="1:31" ht="20" customHeight="1">
      <c r="A49" s="961" t="str">
        <f>IFERROR(IF(ISBLANK(VLOOKUP(F49,'Aktuelle Einnahmen'!A19:G121,3,0)),"",VLOOKUP(F49,'Aktuelle Einnahmen'!A19:G121,3,0)),"")</f>
        <v/>
      </c>
      <c r="B49" s="939"/>
      <c r="C49" s="939"/>
      <c r="D49" s="939"/>
      <c r="E49" s="939"/>
      <c r="F49" s="405">
        <v>18</v>
      </c>
      <c r="G49" s="939" t="str">
        <f>IFERROR(IF(ISBLANK(VLOOKUP(K49,'Aktuelle Einnahmen'!A19:G121,3,0)),"",VLOOKUP(K49,'Aktuelle Einnahmen'!A19:G121,3,0)),"")</f>
        <v/>
      </c>
      <c r="H49" s="939"/>
      <c r="I49" s="939"/>
      <c r="J49" s="939"/>
      <c r="K49" s="324">
        <v>51</v>
      </c>
      <c r="L49" s="963"/>
      <c r="M49" s="939" t="str">
        <f>IFERROR(IF(ISBLANK(VLOOKUP(S49,'Aktuelle Einnahmen'!A19:G121,3,0)),"",VLOOKUP(S49,'Aktuelle Einnahmen'!A19:G121,3,0)),"")</f>
        <v/>
      </c>
      <c r="N49" s="939"/>
      <c r="O49" s="939"/>
      <c r="P49" s="939"/>
      <c r="Q49" s="939"/>
      <c r="R49" s="939"/>
      <c r="S49" s="327">
        <v>84</v>
      </c>
      <c r="U49" s="110" t="str">
        <f t="shared" si="0"/>
        <v/>
      </c>
      <c r="V49" s="403"/>
      <c r="W49" s="403"/>
      <c r="X49" s="427" t="str">
        <f t="shared" si="1"/>
        <v/>
      </c>
      <c r="Y49" s="408"/>
      <c r="Z49" s="409"/>
      <c r="AA49" s="405" t="str">
        <f t="shared" si="2"/>
        <v/>
      </c>
      <c r="AB49" s="421" t="str">
        <f t="shared" si="3"/>
        <v/>
      </c>
      <c r="AC49" s="110"/>
      <c r="AE49" s="110"/>
    </row>
    <row r="50" spans="1:31" ht="20" customHeight="1">
      <c r="A50" s="961" t="str">
        <f>IFERROR(IF(ISBLANK(VLOOKUP(F50,'Aktuelle Einnahmen'!A20:G122,3,0)),"",VLOOKUP(F50,'Aktuelle Einnahmen'!A20:G122,3,0)),"")</f>
        <v/>
      </c>
      <c r="B50" s="939"/>
      <c r="C50" s="939"/>
      <c r="D50" s="939"/>
      <c r="E50" s="939"/>
      <c r="F50" s="405">
        <v>19</v>
      </c>
      <c r="G50" s="939" t="str">
        <f>IFERROR(IF(ISBLANK(VLOOKUP(K50,'Aktuelle Einnahmen'!A20:G122,3,0)),"",VLOOKUP(K50,'Aktuelle Einnahmen'!A20:G122,3,0)),"")</f>
        <v/>
      </c>
      <c r="H50" s="939"/>
      <c r="I50" s="939"/>
      <c r="J50" s="939"/>
      <c r="K50" s="324">
        <v>52</v>
      </c>
      <c r="L50" s="963"/>
      <c r="M50" s="939" t="str">
        <f>IFERROR(IF(ISBLANK(VLOOKUP(S50,'Aktuelle Einnahmen'!A20:G122,3,0)),"",VLOOKUP(S50,'Aktuelle Einnahmen'!A20:G122,3,0)),"")</f>
        <v/>
      </c>
      <c r="N50" s="939"/>
      <c r="O50" s="939"/>
      <c r="P50" s="939"/>
      <c r="Q50" s="939"/>
      <c r="R50" s="939"/>
      <c r="S50" s="327">
        <v>85</v>
      </c>
      <c r="U50" s="110" t="str">
        <f t="shared" si="0"/>
        <v/>
      </c>
      <c r="V50" s="403"/>
      <c r="W50" s="403"/>
      <c r="X50" s="427" t="str">
        <f t="shared" si="1"/>
        <v/>
      </c>
      <c r="Y50" s="408"/>
      <c r="Z50" s="409"/>
      <c r="AA50" s="405" t="str">
        <f t="shared" si="2"/>
        <v/>
      </c>
      <c r="AB50" s="421" t="str">
        <f t="shared" si="3"/>
        <v/>
      </c>
      <c r="AC50" s="110"/>
      <c r="AE50" s="110"/>
    </row>
    <row r="51" spans="1:31" ht="20" customHeight="1">
      <c r="A51" s="961" t="str">
        <f>IFERROR(IF(ISBLANK(VLOOKUP(F51,'Aktuelle Einnahmen'!A21:G123,3,0)),"",VLOOKUP(F51,'Aktuelle Einnahmen'!A21:G123,3,0)),"")</f>
        <v/>
      </c>
      <c r="B51" s="939"/>
      <c r="C51" s="939"/>
      <c r="D51" s="939"/>
      <c r="E51" s="939"/>
      <c r="F51" s="405">
        <v>20</v>
      </c>
      <c r="G51" s="939" t="str">
        <f>IFERROR(IF(ISBLANK(VLOOKUP(K51,'Aktuelle Einnahmen'!A21:G123,3,0)),"",VLOOKUP(K51,'Aktuelle Einnahmen'!A21:G123,3,0)),"")</f>
        <v/>
      </c>
      <c r="H51" s="939"/>
      <c r="I51" s="939"/>
      <c r="J51" s="939"/>
      <c r="K51" s="324">
        <v>53</v>
      </c>
      <c r="L51" s="963"/>
      <c r="M51" s="939" t="str">
        <f>IFERROR(IF(ISBLANK(VLOOKUP(S51,'Aktuelle Einnahmen'!A21:G123,3,0)),"",VLOOKUP(S51,'Aktuelle Einnahmen'!A21:G123,3,0)),"")</f>
        <v/>
      </c>
      <c r="N51" s="939"/>
      <c r="O51" s="939"/>
      <c r="P51" s="939"/>
      <c r="Q51" s="939"/>
      <c r="R51" s="939"/>
      <c r="S51" s="327">
        <v>86</v>
      </c>
      <c r="U51" s="110" t="str">
        <f t="shared" si="0"/>
        <v/>
      </c>
      <c r="V51" s="403"/>
      <c r="W51" s="403"/>
      <c r="X51" s="427" t="str">
        <f t="shared" si="1"/>
        <v/>
      </c>
      <c r="Y51" s="408"/>
      <c r="Z51" s="409"/>
      <c r="AA51" s="405" t="str">
        <f t="shared" si="2"/>
        <v/>
      </c>
      <c r="AB51" s="421" t="str">
        <f t="shared" si="3"/>
        <v/>
      </c>
      <c r="AC51" s="110"/>
      <c r="AE51" s="110"/>
    </row>
    <row r="52" spans="1:31" ht="20" customHeight="1">
      <c r="A52" s="961" t="str">
        <f>IFERROR(IF(ISBLANK(VLOOKUP(F52,'Aktuelle Einnahmen'!A22:G124,3,0)),"",VLOOKUP(F52,'Aktuelle Einnahmen'!A22:G124,3,0)),"")</f>
        <v/>
      </c>
      <c r="B52" s="939"/>
      <c r="C52" s="939"/>
      <c r="D52" s="939"/>
      <c r="E52" s="939"/>
      <c r="F52" s="405">
        <v>21</v>
      </c>
      <c r="G52" s="939" t="str">
        <f>IFERROR(IF(ISBLANK(VLOOKUP(K52,'Aktuelle Einnahmen'!A22:G124,3,0)),"",VLOOKUP(K52,'Aktuelle Einnahmen'!A22:G124,3,0)),"")</f>
        <v/>
      </c>
      <c r="H52" s="939"/>
      <c r="I52" s="939"/>
      <c r="J52" s="939"/>
      <c r="K52" s="324">
        <v>54</v>
      </c>
      <c r="L52" s="963"/>
      <c r="M52" s="939" t="str">
        <f>IFERROR(IF(ISBLANK(VLOOKUP(S52,'Aktuelle Einnahmen'!A22:G124,3,0)),"",VLOOKUP(S52,'Aktuelle Einnahmen'!A22:G124,3,0)),"")</f>
        <v/>
      </c>
      <c r="N52" s="939"/>
      <c r="O52" s="939"/>
      <c r="P52" s="939"/>
      <c r="Q52" s="939"/>
      <c r="R52" s="939"/>
      <c r="S52" s="327">
        <v>87</v>
      </c>
      <c r="U52" s="110" t="str">
        <f t="shared" si="0"/>
        <v/>
      </c>
      <c r="V52" s="403"/>
      <c r="W52" s="403"/>
      <c r="X52" s="427" t="str">
        <f t="shared" si="1"/>
        <v/>
      </c>
      <c r="Y52" s="408"/>
      <c r="Z52" s="409"/>
      <c r="AA52" s="405" t="str">
        <f t="shared" si="2"/>
        <v/>
      </c>
      <c r="AB52" s="421" t="str">
        <f t="shared" si="3"/>
        <v/>
      </c>
      <c r="AC52" s="110"/>
      <c r="AE52" s="110"/>
    </row>
    <row r="53" spans="1:31" ht="20" customHeight="1">
      <c r="A53" s="961" t="str">
        <f>IFERROR(IF(ISBLANK(VLOOKUP(F53,'Aktuelle Einnahmen'!A23:G125,3,0)),"",VLOOKUP(F53,'Aktuelle Einnahmen'!A23:G125,3,0)),"")</f>
        <v/>
      </c>
      <c r="B53" s="939"/>
      <c r="C53" s="939"/>
      <c r="D53" s="939"/>
      <c r="E53" s="939"/>
      <c r="F53" s="405">
        <v>22</v>
      </c>
      <c r="G53" s="939" t="str">
        <f>IFERROR(IF(ISBLANK(VLOOKUP(K53,'Aktuelle Einnahmen'!A23:G125,3,0)),"",VLOOKUP(K53,'Aktuelle Einnahmen'!A23:G125,3,0)),"")</f>
        <v/>
      </c>
      <c r="H53" s="939"/>
      <c r="I53" s="939"/>
      <c r="J53" s="939"/>
      <c r="K53" s="324">
        <v>55</v>
      </c>
      <c r="L53" s="963"/>
      <c r="M53" s="939" t="str">
        <f>IFERROR(IF(ISBLANK(VLOOKUP(S53,'Aktuelle Einnahmen'!A23:G125,3,0)),"",VLOOKUP(S53,'Aktuelle Einnahmen'!A23:G125,3,0)),"")</f>
        <v/>
      </c>
      <c r="N53" s="939"/>
      <c r="O53" s="939"/>
      <c r="P53" s="939"/>
      <c r="Q53" s="939"/>
      <c r="R53" s="939"/>
      <c r="S53" s="327">
        <v>88</v>
      </c>
      <c r="U53" s="110" t="str">
        <f t="shared" si="0"/>
        <v/>
      </c>
      <c r="V53" s="403"/>
      <c r="W53" s="403"/>
      <c r="X53" s="427" t="str">
        <f t="shared" si="1"/>
        <v/>
      </c>
      <c r="Y53" s="408"/>
      <c r="Z53" s="409"/>
      <c r="AA53" s="405" t="str">
        <f t="shared" si="2"/>
        <v/>
      </c>
      <c r="AB53" s="421" t="str">
        <f t="shared" si="3"/>
        <v/>
      </c>
      <c r="AC53" s="110"/>
      <c r="AE53" s="110"/>
    </row>
    <row r="54" spans="1:31" ht="20" customHeight="1">
      <c r="A54" s="961" t="str">
        <f>IFERROR(IF(ISBLANK(VLOOKUP(F54,'Aktuelle Einnahmen'!A24:G126,3,0)),"",VLOOKUP(F54,'Aktuelle Einnahmen'!A24:G126,3,0)),"")</f>
        <v/>
      </c>
      <c r="B54" s="939"/>
      <c r="C54" s="939"/>
      <c r="D54" s="939"/>
      <c r="E54" s="939"/>
      <c r="F54" s="405">
        <v>23</v>
      </c>
      <c r="G54" s="939" t="str">
        <f>IFERROR(IF(ISBLANK(VLOOKUP(K54,'Aktuelle Einnahmen'!A24:G126,3,0)),"",VLOOKUP(K54,'Aktuelle Einnahmen'!A24:G126,3,0)),"")</f>
        <v/>
      </c>
      <c r="H54" s="939"/>
      <c r="I54" s="939"/>
      <c r="J54" s="939"/>
      <c r="K54" s="324">
        <v>56</v>
      </c>
      <c r="L54" s="963"/>
      <c r="M54" s="939" t="str">
        <f>IFERROR(IF(ISBLANK(VLOOKUP(S54,'Aktuelle Einnahmen'!A24:G126,3,0)),"",VLOOKUP(S54,'Aktuelle Einnahmen'!A24:G126,3,0)),"")</f>
        <v/>
      </c>
      <c r="N54" s="939"/>
      <c r="O54" s="939"/>
      <c r="P54" s="939"/>
      <c r="Q54" s="939"/>
      <c r="R54" s="939"/>
      <c r="S54" s="327">
        <v>89</v>
      </c>
      <c r="U54" s="110" t="str">
        <f t="shared" si="0"/>
        <v/>
      </c>
      <c r="V54" s="403"/>
      <c r="W54" s="403"/>
      <c r="X54" s="427" t="str">
        <f t="shared" si="1"/>
        <v/>
      </c>
      <c r="Y54" s="408"/>
      <c r="Z54" s="409"/>
      <c r="AA54" s="405" t="str">
        <f t="shared" si="2"/>
        <v/>
      </c>
      <c r="AB54" s="421" t="str">
        <f t="shared" si="3"/>
        <v/>
      </c>
      <c r="AC54" s="110"/>
      <c r="AE54" s="110"/>
    </row>
    <row r="55" spans="1:31" ht="20" customHeight="1">
      <c r="A55" s="961" t="str">
        <f>IFERROR(IF(ISBLANK(VLOOKUP(F55,'Aktuelle Einnahmen'!A25:G127,3,0)),"",VLOOKUP(F55,'Aktuelle Einnahmen'!A25:G127,3,0)),"")</f>
        <v/>
      </c>
      <c r="B55" s="939"/>
      <c r="C55" s="939"/>
      <c r="D55" s="939"/>
      <c r="E55" s="939"/>
      <c r="F55" s="405">
        <v>24</v>
      </c>
      <c r="G55" s="939" t="str">
        <f>IFERROR(IF(ISBLANK(VLOOKUP(K55,'Aktuelle Einnahmen'!A25:G127,3,0)),"",VLOOKUP(K55,'Aktuelle Einnahmen'!A25:G127,3,0)),"")</f>
        <v/>
      </c>
      <c r="H55" s="939"/>
      <c r="I55" s="939"/>
      <c r="J55" s="939"/>
      <c r="K55" s="324">
        <v>57</v>
      </c>
      <c r="L55" s="963"/>
      <c r="M55" s="939" t="str">
        <f>IFERROR(IF(ISBLANK(VLOOKUP(S55,'Aktuelle Einnahmen'!A25:G127,3,0)),"",VLOOKUP(S55,'Aktuelle Einnahmen'!A25:G127,3,0)),"")</f>
        <v/>
      </c>
      <c r="N55" s="939"/>
      <c r="O55" s="939"/>
      <c r="P55" s="939"/>
      <c r="Q55" s="939"/>
      <c r="R55" s="939"/>
      <c r="S55" s="327">
        <v>90</v>
      </c>
      <c r="U55" s="110" t="str">
        <f t="shared" si="0"/>
        <v/>
      </c>
      <c r="V55" s="403"/>
      <c r="W55" s="403"/>
      <c r="X55" s="427" t="str">
        <f t="shared" si="1"/>
        <v/>
      </c>
      <c r="Y55" s="408"/>
      <c r="Z55" s="409"/>
      <c r="AA55" s="405" t="str">
        <f t="shared" si="2"/>
        <v/>
      </c>
      <c r="AB55" s="421" t="str">
        <f t="shared" si="3"/>
        <v/>
      </c>
      <c r="AC55" s="110"/>
      <c r="AE55" s="110"/>
    </row>
    <row r="56" spans="1:31" ht="20" customHeight="1">
      <c r="A56" s="961" t="str">
        <f>IFERROR(IF(ISBLANK(VLOOKUP(F56,'Aktuelle Einnahmen'!A26:G128,3,0)),"",VLOOKUP(F56,'Aktuelle Einnahmen'!A26:G128,3,0)),"")</f>
        <v/>
      </c>
      <c r="B56" s="939"/>
      <c r="C56" s="939"/>
      <c r="D56" s="939"/>
      <c r="E56" s="939"/>
      <c r="F56" s="405">
        <v>25</v>
      </c>
      <c r="G56" s="939" t="str">
        <f>IFERROR(IF(ISBLANK(VLOOKUP(K56,'Aktuelle Einnahmen'!A26:G128,3,0)),"",VLOOKUP(K56,'Aktuelle Einnahmen'!A26:G128,3,0)),"")</f>
        <v/>
      </c>
      <c r="H56" s="939"/>
      <c r="I56" s="939"/>
      <c r="J56" s="939"/>
      <c r="K56" s="324">
        <v>58</v>
      </c>
      <c r="L56" s="963"/>
      <c r="M56" s="939" t="str">
        <f>IFERROR(IF(ISBLANK(VLOOKUP(S56,'Aktuelle Einnahmen'!A26:G128,3,0)),"",VLOOKUP(S56,'Aktuelle Einnahmen'!A26:G128,3,0)),"")</f>
        <v/>
      </c>
      <c r="N56" s="939"/>
      <c r="O56" s="939"/>
      <c r="P56" s="939"/>
      <c r="Q56" s="939"/>
      <c r="R56" s="939"/>
      <c r="S56" s="327">
        <v>91</v>
      </c>
      <c r="U56" s="110" t="str">
        <f t="shared" si="0"/>
        <v/>
      </c>
      <c r="V56" s="403"/>
      <c r="W56" s="403"/>
      <c r="X56" s="427" t="str">
        <f t="shared" si="1"/>
        <v/>
      </c>
      <c r="Y56" s="408"/>
      <c r="Z56" s="409"/>
      <c r="AA56" s="405" t="str">
        <f t="shared" si="2"/>
        <v/>
      </c>
      <c r="AB56" s="421" t="str">
        <f t="shared" si="3"/>
        <v/>
      </c>
      <c r="AC56" s="110"/>
      <c r="AE56" s="110"/>
    </row>
    <row r="57" spans="1:31" ht="20" customHeight="1">
      <c r="A57" s="961" t="str">
        <f>IFERROR(IF(ISBLANK(VLOOKUP(F57,'Aktuelle Einnahmen'!A27:G129,3,0)),"",VLOOKUP(F57,'Aktuelle Einnahmen'!A27:G129,3,0)),"")</f>
        <v/>
      </c>
      <c r="B57" s="939"/>
      <c r="C57" s="939"/>
      <c r="D57" s="939"/>
      <c r="E57" s="939"/>
      <c r="F57" s="405">
        <v>26</v>
      </c>
      <c r="G57" s="939" t="str">
        <f>IFERROR(IF(ISBLANK(VLOOKUP(K57,'Aktuelle Einnahmen'!A27:G129,3,0)),"",VLOOKUP(K57,'Aktuelle Einnahmen'!A27:G129,3,0)),"")</f>
        <v/>
      </c>
      <c r="H57" s="939"/>
      <c r="I57" s="939"/>
      <c r="J57" s="939"/>
      <c r="K57" s="324">
        <v>59</v>
      </c>
      <c r="L57" s="963"/>
      <c r="M57" s="939" t="str">
        <f>IFERROR(IF(ISBLANK(VLOOKUP(S57,'Aktuelle Einnahmen'!A27:G129,3,0)),"",VLOOKUP(S57,'Aktuelle Einnahmen'!A27:G129,3,0)),"")</f>
        <v/>
      </c>
      <c r="N57" s="939"/>
      <c r="O57" s="939"/>
      <c r="P57" s="939"/>
      <c r="Q57" s="939"/>
      <c r="R57" s="939"/>
      <c r="S57" s="327">
        <v>92</v>
      </c>
      <c r="U57" s="110" t="str">
        <f t="shared" si="0"/>
        <v/>
      </c>
      <c r="V57" s="403"/>
      <c r="W57" s="403"/>
      <c r="X57" s="427" t="str">
        <f t="shared" si="1"/>
        <v/>
      </c>
      <c r="Y57" s="408"/>
      <c r="Z57" s="409"/>
      <c r="AA57" s="405" t="str">
        <f t="shared" si="2"/>
        <v/>
      </c>
      <c r="AB57" s="421" t="str">
        <f t="shared" si="3"/>
        <v/>
      </c>
      <c r="AC57" s="110"/>
      <c r="AE57" s="110"/>
    </row>
    <row r="58" spans="1:31" ht="20" customHeight="1">
      <c r="A58" s="961" t="str">
        <f>IFERROR(IF(ISBLANK(VLOOKUP(F58,'Aktuelle Einnahmen'!A28:G130,3,0)),"",VLOOKUP(F58,'Aktuelle Einnahmen'!A28:G130,3,0)),"")</f>
        <v/>
      </c>
      <c r="B58" s="939"/>
      <c r="C58" s="939"/>
      <c r="D58" s="939"/>
      <c r="E58" s="939"/>
      <c r="F58" s="405">
        <v>27</v>
      </c>
      <c r="G58" s="939" t="str">
        <f>IFERROR(IF(ISBLANK(VLOOKUP(K58,'Aktuelle Einnahmen'!A28:G130,3,0)),"",VLOOKUP(K58,'Aktuelle Einnahmen'!A28:G130,3,0)),"")</f>
        <v/>
      </c>
      <c r="H58" s="939"/>
      <c r="I58" s="939"/>
      <c r="J58" s="939"/>
      <c r="K58" s="324">
        <v>60</v>
      </c>
      <c r="L58" s="963"/>
      <c r="M58" s="939" t="str">
        <f>IFERROR(IF(ISBLANK(VLOOKUP(S58,'Aktuelle Einnahmen'!A28:G130,3,0)),"",VLOOKUP(S58,'Aktuelle Einnahmen'!A28:G130,3,0)),"")</f>
        <v/>
      </c>
      <c r="N58" s="939"/>
      <c r="O58" s="939"/>
      <c r="P58" s="939"/>
      <c r="Q58" s="939"/>
      <c r="R58" s="939"/>
      <c r="S58" s="327">
        <v>93</v>
      </c>
      <c r="U58" s="110" t="str">
        <f t="shared" si="0"/>
        <v/>
      </c>
      <c r="V58" s="403"/>
      <c r="W58" s="403"/>
      <c r="X58" s="427" t="str">
        <f t="shared" si="1"/>
        <v/>
      </c>
      <c r="Y58" s="408"/>
      <c r="Z58" s="409"/>
      <c r="AA58" s="405" t="str">
        <f t="shared" si="2"/>
        <v/>
      </c>
      <c r="AB58" s="421" t="str">
        <f t="shared" si="3"/>
        <v/>
      </c>
      <c r="AC58" s="110"/>
      <c r="AE58" s="110"/>
    </row>
    <row r="59" spans="1:31" ht="20" customHeight="1">
      <c r="A59" s="961" t="str">
        <f>IFERROR(IF(ISBLANK(VLOOKUP(F59,'Aktuelle Einnahmen'!A29:G131,3,0)),"",VLOOKUP(F59,'Aktuelle Einnahmen'!A29:G131,3,0)),"")</f>
        <v/>
      </c>
      <c r="B59" s="939"/>
      <c r="C59" s="939"/>
      <c r="D59" s="939"/>
      <c r="E59" s="939"/>
      <c r="F59" s="405">
        <v>28</v>
      </c>
      <c r="G59" s="939" t="str">
        <f>IFERROR(IF(ISBLANK(VLOOKUP(K59,'Aktuelle Einnahmen'!A29:G131,3,0)),"",VLOOKUP(K59,'Aktuelle Einnahmen'!A29:G131,3,0)),"")</f>
        <v/>
      </c>
      <c r="H59" s="939"/>
      <c r="I59" s="939"/>
      <c r="J59" s="939"/>
      <c r="K59" s="324">
        <v>61</v>
      </c>
      <c r="L59" s="963"/>
      <c r="M59" s="939" t="str">
        <f>IFERROR(IF(ISBLANK(VLOOKUP(S59,'Aktuelle Einnahmen'!A29:G131,3,0)),"",VLOOKUP(S59,'Aktuelle Einnahmen'!A29:G131,3,0)),"")</f>
        <v/>
      </c>
      <c r="N59" s="939"/>
      <c r="O59" s="939"/>
      <c r="P59" s="939"/>
      <c r="Q59" s="939"/>
      <c r="R59" s="939"/>
      <c r="S59" s="327">
        <v>94</v>
      </c>
      <c r="U59" s="110" t="str">
        <f t="shared" si="0"/>
        <v/>
      </c>
      <c r="V59" s="403"/>
      <c r="W59" s="403"/>
      <c r="X59" s="427" t="str">
        <f t="shared" si="1"/>
        <v/>
      </c>
      <c r="Y59" s="408"/>
      <c r="Z59" s="409"/>
      <c r="AA59" s="405" t="str">
        <f t="shared" si="2"/>
        <v/>
      </c>
      <c r="AB59" s="421" t="str">
        <f t="shared" si="3"/>
        <v/>
      </c>
      <c r="AC59" s="110"/>
      <c r="AE59" s="110"/>
    </row>
    <row r="60" spans="1:31" ht="20" customHeight="1">
      <c r="A60" s="961" t="str">
        <f>IFERROR(IF(ISBLANK(VLOOKUP(F60,'Aktuelle Einnahmen'!A30:G132,3,0)),"",VLOOKUP(F60,'Aktuelle Einnahmen'!A30:G132,3,0)),"")</f>
        <v/>
      </c>
      <c r="B60" s="939"/>
      <c r="C60" s="939"/>
      <c r="D60" s="939"/>
      <c r="E60" s="939"/>
      <c r="F60" s="405">
        <v>29</v>
      </c>
      <c r="G60" s="939" t="str">
        <f>IFERROR(IF(ISBLANK(VLOOKUP(K60,'Aktuelle Einnahmen'!A30:G132,3,0)),"",VLOOKUP(K60,'Aktuelle Einnahmen'!A30:G132,3,0)),"")</f>
        <v/>
      </c>
      <c r="H60" s="939"/>
      <c r="I60" s="939"/>
      <c r="J60" s="939"/>
      <c r="K60" s="324">
        <v>62</v>
      </c>
      <c r="L60" s="963"/>
      <c r="M60" s="939" t="str">
        <f>IFERROR(IF(ISBLANK(VLOOKUP(S60,'Aktuelle Einnahmen'!A30:G132,3,0)),"",VLOOKUP(S60,'Aktuelle Einnahmen'!A30:G132,3,0)),"")</f>
        <v/>
      </c>
      <c r="N60" s="939"/>
      <c r="O60" s="939"/>
      <c r="P60" s="939"/>
      <c r="Q60" s="939"/>
      <c r="R60" s="939"/>
      <c r="S60" s="327">
        <v>95</v>
      </c>
      <c r="U60" s="110" t="str">
        <f t="shared" si="0"/>
        <v/>
      </c>
      <c r="V60" s="403"/>
      <c r="W60" s="403"/>
      <c r="X60" s="427" t="str">
        <f t="shared" si="1"/>
        <v/>
      </c>
      <c r="Y60" s="408"/>
      <c r="Z60" s="409"/>
      <c r="AA60" s="405" t="str">
        <f t="shared" si="2"/>
        <v/>
      </c>
      <c r="AB60" s="421" t="str">
        <f t="shared" si="3"/>
        <v/>
      </c>
      <c r="AC60" s="110"/>
      <c r="AE60" s="110"/>
    </row>
    <row r="61" spans="1:31" ht="20" customHeight="1">
      <c r="A61" s="961" t="str">
        <f>IFERROR(IF(ISBLANK(VLOOKUP(F61,'Aktuelle Einnahmen'!A31:G133,3,0)),"",VLOOKUP(F61,'Aktuelle Einnahmen'!A31:G133,3,0)),"")</f>
        <v/>
      </c>
      <c r="B61" s="939"/>
      <c r="C61" s="939"/>
      <c r="D61" s="939"/>
      <c r="E61" s="939"/>
      <c r="F61" s="405">
        <v>30</v>
      </c>
      <c r="G61" s="939" t="str">
        <f>IFERROR(IF(ISBLANK(VLOOKUP(K61,'Aktuelle Einnahmen'!A31:G133,3,0)),"",VLOOKUP(K61,'Aktuelle Einnahmen'!A31:G133,3,0)),"")</f>
        <v/>
      </c>
      <c r="H61" s="939"/>
      <c r="I61" s="939"/>
      <c r="J61" s="939"/>
      <c r="K61" s="324">
        <v>63</v>
      </c>
      <c r="L61" s="963"/>
      <c r="M61" s="939" t="str">
        <f>IFERROR(IF(ISBLANK(VLOOKUP(S61,'Aktuelle Einnahmen'!A31:G133,3,0)),"",VLOOKUP(S61,'Aktuelle Einnahmen'!A31:G133,3,0)),"")</f>
        <v/>
      </c>
      <c r="N61" s="939"/>
      <c r="O61" s="939"/>
      <c r="P61" s="939"/>
      <c r="Q61" s="939"/>
      <c r="R61" s="939"/>
      <c r="S61" s="327">
        <v>96</v>
      </c>
      <c r="U61" s="110" t="str">
        <f t="shared" si="0"/>
        <v/>
      </c>
      <c r="V61" s="403"/>
      <c r="W61" s="403"/>
      <c r="X61" s="427" t="str">
        <f t="shared" si="1"/>
        <v/>
      </c>
      <c r="Y61" s="408"/>
      <c r="Z61" s="409"/>
      <c r="AA61" s="405" t="str">
        <f t="shared" si="2"/>
        <v/>
      </c>
      <c r="AB61" s="421" t="str">
        <f t="shared" si="3"/>
        <v/>
      </c>
      <c r="AC61" s="110"/>
      <c r="AE61" s="110"/>
    </row>
    <row r="62" spans="1:31" ht="20" customHeight="1">
      <c r="A62" s="961" t="str">
        <f>IFERROR(IF(ISBLANK(VLOOKUP(F62,'Aktuelle Einnahmen'!A32:G134,3,0)),"",VLOOKUP(F62,'Aktuelle Einnahmen'!A32:G134,3,0)),"")</f>
        <v/>
      </c>
      <c r="B62" s="939"/>
      <c r="C62" s="939"/>
      <c r="D62" s="939"/>
      <c r="E62" s="939"/>
      <c r="F62" s="405">
        <v>31</v>
      </c>
      <c r="G62" s="939" t="str">
        <f>IFERROR(IF(ISBLANK(VLOOKUP(K62,'Aktuelle Einnahmen'!A32:G134,3,0)),"",VLOOKUP(K62,'Aktuelle Einnahmen'!A32:G134,3,0)),"")</f>
        <v/>
      </c>
      <c r="H62" s="939"/>
      <c r="I62" s="939"/>
      <c r="J62" s="939"/>
      <c r="K62" s="324">
        <v>64</v>
      </c>
      <c r="L62" s="963"/>
      <c r="M62" s="939" t="str">
        <f>IFERROR(IF(ISBLANK(VLOOKUP(S62,'Aktuelle Einnahmen'!A32:G134,3,0)),"",VLOOKUP(S62,'Aktuelle Einnahmen'!A32:G134,3,0)),"")</f>
        <v/>
      </c>
      <c r="N62" s="939"/>
      <c r="O62" s="939"/>
      <c r="P62" s="939"/>
      <c r="Q62" s="939"/>
      <c r="R62" s="939"/>
      <c r="S62" s="327">
        <v>97</v>
      </c>
      <c r="U62" s="110" t="str">
        <f t="shared" si="0"/>
        <v/>
      </c>
      <c r="V62" s="403"/>
      <c r="W62" s="403"/>
      <c r="X62" s="427" t="str">
        <f t="shared" si="1"/>
        <v/>
      </c>
      <c r="Y62" s="408"/>
      <c r="Z62" s="409"/>
      <c r="AA62" s="405" t="str">
        <f t="shared" si="2"/>
        <v/>
      </c>
      <c r="AB62" s="421" t="str">
        <f t="shared" si="3"/>
        <v/>
      </c>
      <c r="AC62" s="110"/>
      <c r="AE62" s="110"/>
    </row>
    <row r="63" spans="1:31" ht="20" customHeight="1">
      <c r="A63" s="961" t="str">
        <f>IFERROR(IF(ISBLANK(VLOOKUP(F63,'Aktuelle Einnahmen'!A33:G135,3,0)),"",VLOOKUP(F63,'Aktuelle Einnahmen'!A33:G135,3,0)),"")</f>
        <v/>
      </c>
      <c r="B63" s="939"/>
      <c r="C63" s="939"/>
      <c r="D63" s="939"/>
      <c r="E63" s="939"/>
      <c r="F63" s="405">
        <v>32</v>
      </c>
      <c r="G63" s="939" t="str">
        <f>IFERROR(IF(ISBLANK(VLOOKUP(K63,'Aktuelle Einnahmen'!A33:G135,3,0)),"",VLOOKUP(K63,'Aktuelle Einnahmen'!A33:G135,3,0)),"")</f>
        <v/>
      </c>
      <c r="H63" s="939"/>
      <c r="I63" s="939"/>
      <c r="J63" s="939"/>
      <c r="K63" s="324">
        <v>65</v>
      </c>
      <c r="L63" s="963"/>
      <c r="M63" s="939" t="str">
        <f>IFERROR(IF(ISBLANK(VLOOKUP(S63,'Aktuelle Einnahmen'!A33:G135,3,0)),"",VLOOKUP(S63,'Aktuelle Einnahmen'!A33:G135,3,0)),"")</f>
        <v/>
      </c>
      <c r="N63" s="939"/>
      <c r="O63" s="939"/>
      <c r="P63" s="939"/>
      <c r="Q63" s="939"/>
      <c r="R63" s="939"/>
      <c r="S63" s="327">
        <v>98</v>
      </c>
      <c r="U63" s="110" t="str">
        <f t="shared" si="0"/>
        <v/>
      </c>
      <c r="V63" s="403"/>
      <c r="W63" s="403"/>
      <c r="X63" s="427" t="str">
        <f t="shared" si="1"/>
        <v/>
      </c>
      <c r="Y63" s="408"/>
      <c r="Z63" s="409"/>
      <c r="AA63" s="405" t="str">
        <f t="shared" si="2"/>
        <v/>
      </c>
      <c r="AB63" s="421" t="str">
        <f t="shared" si="3"/>
        <v/>
      </c>
      <c r="AC63" s="110"/>
      <c r="AE63" s="110"/>
    </row>
    <row r="64" spans="1:31" ht="20" customHeight="1" thickBot="1">
      <c r="A64" s="974" t="str">
        <f>IFERROR(IF(ISBLANK(VLOOKUP(F64,'Aktuelle Einnahmen'!A34:G136,3,0)),"",VLOOKUP(F64,'Aktuelle Einnahmen'!A34:G136,3,0)),"")</f>
        <v/>
      </c>
      <c r="B64" s="975"/>
      <c r="C64" s="975"/>
      <c r="D64" s="975"/>
      <c r="E64" s="975"/>
      <c r="F64" s="406">
        <v>33</v>
      </c>
      <c r="G64" s="975" t="str">
        <f>IFERROR(IF(ISBLANK(VLOOKUP(K64,'Aktuelle Einnahmen'!A34:G136,3,0)),"",VLOOKUP(K64,'Aktuelle Einnahmen'!A34:G136,3,0)),"")</f>
        <v/>
      </c>
      <c r="H64" s="975"/>
      <c r="I64" s="975"/>
      <c r="J64" s="975"/>
      <c r="K64" s="328">
        <v>66</v>
      </c>
      <c r="L64" s="964"/>
      <c r="M64" s="975" t="str">
        <f>IFERROR(IF(ISBLANK(VLOOKUP(S64,'Aktuelle Einnahmen'!A34:G136,3,0)),"",VLOOKUP(S64,'Aktuelle Einnahmen'!A34:G136,3,0)),"")</f>
        <v/>
      </c>
      <c r="N64" s="975"/>
      <c r="O64" s="975"/>
      <c r="P64" s="975"/>
      <c r="Q64" s="975"/>
      <c r="R64" s="975"/>
      <c r="S64" s="329">
        <v>99</v>
      </c>
      <c r="U64" s="110" t="str">
        <f t="shared" si="0"/>
        <v/>
      </c>
      <c r="V64" s="403"/>
      <c r="W64" s="403"/>
      <c r="X64" s="427" t="str">
        <f t="shared" si="1"/>
        <v/>
      </c>
      <c r="Y64" s="408"/>
      <c r="Z64" s="409"/>
      <c r="AA64" s="405" t="str">
        <f t="shared" si="2"/>
        <v/>
      </c>
      <c r="AB64" s="421" t="str">
        <f t="shared" si="3"/>
        <v/>
      </c>
      <c r="AC64" s="110"/>
      <c r="AE64" s="110"/>
    </row>
    <row r="65" spans="1:31" ht="20" customHeight="1">
      <c r="A65" s="398" t="str">
        <f>IFERROR(IF(ISBLANK(VLOOKUP(F65,'Aktuelle Einnahmen'!A35:G137,3,0)),"",VLOOKUP(F65,'Aktuelle Einnahmen'!A35:G137,3,0)),"")</f>
        <v/>
      </c>
      <c r="B65" s="399"/>
      <c r="C65" s="399"/>
      <c r="D65" s="399"/>
      <c r="E65" s="399"/>
      <c r="F65" s="417">
        <v>34</v>
      </c>
      <c r="G65" s="399"/>
      <c r="H65" s="110"/>
      <c r="I65" s="110"/>
      <c r="J65" s="110"/>
      <c r="K65" s="110"/>
      <c r="L65" s="110"/>
      <c r="M65" s="110"/>
      <c r="N65" s="110"/>
      <c r="O65" s="110"/>
      <c r="P65" s="110"/>
      <c r="Q65" s="110"/>
      <c r="R65" s="110"/>
      <c r="U65" s="110"/>
      <c r="V65" s="403"/>
      <c r="W65" s="403"/>
      <c r="X65" s="427" t="str">
        <f t="shared" si="1"/>
        <v/>
      </c>
      <c r="Y65" s="408"/>
      <c r="Z65" s="410"/>
      <c r="AA65" s="405" t="str">
        <f t="shared" si="2"/>
        <v/>
      </c>
      <c r="AB65" s="421" t="str">
        <f t="shared" si="3"/>
        <v/>
      </c>
      <c r="AC65" s="110"/>
      <c r="AE65" s="110"/>
    </row>
    <row r="66" spans="1:31" ht="20" customHeight="1">
      <c r="A66" s="398" t="str">
        <f>IFERROR(IF(ISBLANK(VLOOKUP(F66,'Aktuelle Einnahmen'!A36:G138,3,0)),"",VLOOKUP(F66,'Aktuelle Einnahmen'!A36:G138,3,0)),"")</f>
        <v/>
      </c>
      <c r="B66" s="399"/>
      <c r="C66" s="399"/>
      <c r="D66" s="399"/>
      <c r="E66" s="399"/>
      <c r="F66" s="417">
        <v>35</v>
      </c>
      <c r="G66" s="399"/>
      <c r="U66" s="110"/>
      <c r="V66" s="403"/>
      <c r="W66" s="403"/>
      <c r="X66" s="427" t="str">
        <f t="shared" si="1"/>
        <v/>
      </c>
      <c r="Y66" s="408"/>
      <c r="Z66" s="410"/>
      <c r="AA66" s="405" t="str">
        <f t="shared" si="2"/>
        <v/>
      </c>
      <c r="AB66" s="421" t="str">
        <f t="shared" si="3"/>
        <v/>
      </c>
      <c r="AC66" s="110"/>
    </row>
    <row r="67" spans="1:31" ht="20" customHeight="1">
      <c r="A67" s="398" t="str">
        <f>IFERROR(IF(ISBLANK(VLOOKUP(F67,'Aktuelle Einnahmen'!A37:G139,3,0)),"",VLOOKUP(F67,'Aktuelle Einnahmen'!A37:G139,3,0)),"")</f>
        <v/>
      </c>
      <c r="B67" s="399"/>
      <c r="C67" s="399"/>
      <c r="D67" s="399"/>
      <c r="E67" s="399"/>
      <c r="F67" s="417">
        <v>36</v>
      </c>
      <c r="G67" s="399"/>
      <c r="U67" s="110"/>
      <c r="V67" s="403"/>
      <c r="W67" s="403"/>
      <c r="X67" s="427" t="str">
        <f t="shared" si="1"/>
        <v/>
      </c>
      <c r="Y67" s="408"/>
      <c r="Z67" s="410"/>
      <c r="AA67" s="405" t="str">
        <f t="shared" si="2"/>
        <v/>
      </c>
      <c r="AB67" s="421" t="str">
        <f t="shared" si="3"/>
        <v/>
      </c>
      <c r="AC67" s="110"/>
    </row>
    <row r="68" spans="1:31" ht="20" customHeight="1">
      <c r="A68" s="398" t="str">
        <f>IFERROR(IF(ISBLANK(VLOOKUP(F68,'Aktuelle Einnahmen'!A38:G140,3,0)),"",VLOOKUP(F68,'Aktuelle Einnahmen'!A38:G140,3,0)),"")</f>
        <v/>
      </c>
      <c r="B68" s="399"/>
      <c r="C68" s="399"/>
      <c r="D68" s="399"/>
      <c r="E68" s="399"/>
      <c r="F68" s="417">
        <v>37</v>
      </c>
      <c r="G68" s="399"/>
      <c r="U68" s="110"/>
      <c r="V68" s="403"/>
      <c r="W68" s="403"/>
      <c r="X68" s="427" t="str">
        <f t="shared" si="1"/>
        <v/>
      </c>
      <c r="Y68" s="408"/>
      <c r="Z68" s="410"/>
      <c r="AA68" s="405" t="str">
        <f t="shared" si="2"/>
        <v/>
      </c>
      <c r="AB68" s="421" t="str">
        <f t="shared" si="3"/>
        <v/>
      </c>
      <c r="AC68" s="110"/>
    </row>
    <row r="69" spans="1:31" ht="20" customHeight="1">
      <c r="A69" s="398" t="str">
        <f>IFERROR(IF(ISBLANK(VLOOKUP(F69,'Aktuelle Einnahmen'!A39:G141,3,0)),"",VLOOKUP(F69,'Aktuelle Einnahmen'!A39:G141,3,0)),"")</f>
        <v/>
      </c>
      <c r="B69" s="399"/>
      <c r="C69" s="399"/>
      <c r="D69" s="399"/>
      <c r="E69" s="399"/>
      <c r="F69" s="417">
        <v>38</v>
      </c>
      <c r="G69" s="399"/>
      <c r="U69" s="110"/>
      <c r="V69" s="403"/>
      <c r="W69" s="403"/>
      <c r="X69" s="427" t="str">
        <f t="shared" si="1"/>
        <v/>
      </c>
      <c r="Y69" s="408"/>
      <c r="Z69" s="410"/>
      <c r="AA69" s="405" t="str">
        <f t="shared" si="2"/>
        <v/>
      </c>
      <c r="AB69" s="421" t="str">
        <f t="shared" si="3"/>
        <v/>
      </c>
      <c r="AC69" s="110"/>
    </row>
    <row r="70" spans="1:31" ht="20" customHeight="1">
      <c r="A70" s="398" t="str">
        <f>IFERROR(IF(ISBLANK(VLOOKUP(F70,'Aktuelle Einnahmen'!A40:G142,3,0)),"",VLOOKUP(F70,'Aktuelle Einnahmen'!A40:G142,3,0)),"")</f>
        <v/>
      </c>
      <c r="B70" s="399"/>
      <c r="C70" s="399"/>
      <c r="D70" s="399"/>
      <c r="E70" s="399"/>
      <c r="F70" s="417">
        <v>39</v>
      </c>
      <c r="G70" s="399"/>
      <c r="U70" s="110"/>
      <c r="V70" s="403"/>
      <c r="W70" s="403"/>
      <c r="X70" s="427" t="str">
        <f t="shared" si="1"/>
        <v/>
      </c>
      <c r="Y70" s="408"/>
      <c r="Z70" s="410"/>
      <c r="AA70" s="405" t="str">
        <f t="shared" si="2"/>
        <v/>
      </c>
      <c r="AB70" s="421" t="str">
        <f t="shared" si="3"/>
        <v/>
      </c>
      <c r="AC70" s="110"/>
    </row>
    <row r="71" spans="1:31" ht="20" customHeight="1">
      <c r="A71" s="398" t="str">
        <f>IFERROR(IF(ISBLANK(VLOOKUP(F71,'Aktuelle Einnahmen'!A41:G143,3,0)),"",VLOOKUP(F71,'Aktuelle Einnahmen'!A41:G143,3,0)),"")</f>
        <v/>
      </c>
      <c r="B71" s="399"/>
      <c r="C71" s="399"/>
      <c r="D71" s="399"/>
      <c r="E71" s="399"/>
      <c r="F71" s="417">
        <v>40</v>
      </c>
      <c r="G71" s="399"/>
      <c r="U71" s="110"/>
      <c r="V71" s="403"/>
      <c r="W71" s="403"/>
      <c r="X71" s="427" t="str">
        <f t="shared" si="1"/>
        <v/>
      </c>
      <c r="Y71" s="408"/>
      <c r="Z71" s="410"/>
      <c r="AA71" s="405" t="str">
        <f t="shared" si="2"/>
        <v/>
      </c>
      <c r="AB71" s="421" t="str">
        <f t="shared" si="3"/>
        <v/>
      </c>
      <c r="AC71" s="110"/>
    </row>
    <row r="72" spans="1:31" ht="20" customHeight="1">
      <c r="A72" s="398" t="str">
        <f>IFERROR(IF(ISBLANK(VLOOKUP(F72,'Aktuelle Einnahmen'!A42:G144,3,0)),"",VLOOKUP(F72,'Aktuelle Einnahmen'!A42:G144,3,0)),"")</f>
        <v/>
      </c>
      <c r="B72" s="399"/>
      <c r="C72" s="399"/>
      <c r="D72" s="399"/>
      <c r="E72" s="399"/>
      <c r="F72" s="417">
        <v>41</v>
      </c>
      <c r="G72" s="399"/>
      <c r="U72" s="110"/>
      <c r="V72" s="403"/>
      <c r="W72" s="403"/>
      <c r="X72" s="427" t="str">
        <f t="shared" si="1"/>
        <v/>
      </c>
      <c r="Y72" s="408"/>
      <c r="Z72" s="410"/>
      <c r="AA72" s="405" t="str">
        <f t="shared" si="2"/>
        <v/>
      </c>
      <c r="AB72" s="421" t="str">
        <f t="shared" si="3"/>
        <v/>
      </c>
      <c r="AC72" s="110"/>
    </row>
    <row r="73" spans="1:31" ht="20" customHeight="1">
      <c r="A73" s="398" t="str">
        <f>IFERROR(IF(ISBLANK(VLOOKUP(F73,'Aktuelle Einnahmen'!A43:G145,3,0)),"",VLOOKUP(F73,'Aktuelle Einnahmen'!A43:G145,3,0)),"")</f>
        <v/>
      </c>
      <c r="B73" s="399"/>
      <c r="C73" s="399"/>
      <c r="D73" s="399"/>
      <c r="E73" s="399"/>
      <c r="F73" s="417">
        <v>42</v>
      </c>
      <c r="G73" s="399"/>
      <c r="U73" s="110"/>
      <c r="V73" s="403"/>
      <c r="W73" s="403"/>
      <c r="X73" s="427" t="str">
        <f t="shared" si="1"/>
        <v/>
      </c>
      <c r="Y73" s="408"/>
      <c r="Z73" s="410"/>
      <c r="AA73" s="405" t="str">
        <f t="shared" si="2"/>
        <v/>
      </c>
      <c r="AB73" s="421" t="str">
        <f t="shared" si="3"/>
        <v/>
      </c>
      <c r="AC73" s="110"/>
    </row>
    <row r="74" spans="1:31" ht="20" customHeight="1">
      <c r="A74" s="398" t="str">
        <f>IFERROR(IF(ISBLANK(VLOOKUP(F74,'Aktuelle Einnahmen'!A44:G146,3,0)),"",VLOOKUP(F74,'Aktuelle Einnahmen'!A44:G146,3,0)),"")</f>
        <v/>
      </c>
      <c r="B74" s="399"/>
      <c r="C74" s="399"/>
      <c r="D74" s="399"/>
      <c r="E74" s="399"/>
      <c r="F74" s="417">
        <v>43</v>
      </c>
      <c r="G74" s="399"/>
      <c r="U74" s="110"/>
      <c r="V74" s="403"/>
      <c r="W74" s="403"/>
      <c r="X74" s="427" t="str">
        <f t="shared" si="1"/>
        <v/>
      </c>
      <c r="Y74" s="408"/>
      <c r="Z74" s="410"/>
      <c r="AA74" s="405" t="str">
        <f t="shared" si="2"/>
        <v/>
      </c>
      <c r="AB74" s="421" t="str">
        <f t="shared" si="3"/>
        <v/>
      </c>
      <c r="AC74" s="110"/>
    </row>
    <row r="75" spans="1:31" ht="20" customHeight="1">
      <c r="A75" s="398" t="str">
        <f>IFERROR(IF(ISBLANK(VLOOKUP(F75,'Aktuelle Einnahmen'!A45:G147,3,0)),"",VLOOKUP(F75,'Aktuelle Einnahmen'!A45:G147,3,0)),"")</f>
        <v/>
      </c>
      <c r="B75" s="399"/>
      <c r="C75" s="399"/>
      <c r="D75" s="399"/>
      <c r="E75" s="399"/>
      <c r="F75" s="417">
        <v>44</v>
      </c>
      <c r="G75" s="399"/>
      <c r="U75" s="110"/>
      <c r="V75" s="403"/>
      <c r="W75" s="403"/>
      <c r="X75" s="427" t="str">
        <f t="shared" si="1"/>
        <v/>
      </c>
      <c r="Y75" s="408"/>
      <c r="Z75" s="410"/>
      <c r="AA75" s="405" t="str">
        <f t="shared" si="2"/>
        <v/>
      </c>
      <c r="AB75" s="421" t="str">
        <f t="shared" si="3"/>
        <v/>
      </c>
      <c r="AC75" s="110"/>
    </row>
    <row r="76" spans="1:31" ht="20" customHeight="1">
      <c r="A76" s="398" t="str">
        <f>IFERROR(IF(ISBLANK(VLOOKUP(F76,'Aktuelle Einnahmen'!A46:G148,3,0)),"",VLOOKUP(F76,'Aktuelle Einnahmen'!A46:G148,3,0)),"")</f>
        <v/>
      </c>
      <c r="B76" s="399"/>
      <c r="C76" s="399"/>
      <c r="D76" s="399"/>
      <c r="E76" s="399"/>
      <c r="F76" s="417">
        <v>45</v>
      </c>
      <c r="G76" s="399"/>
      <c r="U76" s="110"/>
      <c r="V76" s="403"/>
      <c r="W76" s="403"/>
      <c r="X76" s="427" t="str">
        <f t="shared" si="1"/>
        <v/>
      </c>
      <c r="Y76" s="408"/>
      <c r="Z76" s="410"/>
      <c r="AA76" s="405" t="str">
        <f t="shared" si="2"/>
        <v/>
      </c>
      <c r="AB76" s="421" t="str">
        <f t="shared" si="3"/>
        <v/>
      </c>
      <c r="AC76" s="110"/>
    </row>
    <row r="77" spans="1:31" ht="20" customHeight="1">
      <c r="A77" s="398" t="str">
        <f>IFERROR(IF(ISBLANK(VLOOKUP(F77,'Aktuelle Einnahmen'!A47:G149,3,0)),"",VLOOKUP(F77,'Aktuelle Einnahmen'!A47:G149,3,0)),"")</f>
        <v/>
      </c>
      <c r="B77" s="399"/>
      <c r="C77" s="399"/>
      <c r="D77" s="399"/>
      <c r="E77" s="399"/>
      <c r="F77" s="417">
        <v>46</v>
      </c>
      <c r="G77" s="399"/>
      <c r="U77" s="110"/>
      <c r="V77" s="403"/>
      <c r="W77" s="403"/>
      <c r="X77" s="427" t="str">
        <f t="shared" si="1"/>
        <v/>
      </c>
      <c r="Y77" s="408"/>
      <c r="Z77" s="410"/>
      <c r="AA77" s="405" t="str">
        <f t="shared" si="2"/>
        <v/>
      </c>
      <c r="AB77" s="421" t="str">
        <f t="shared" si="3"/>
        <v/>
      </c>
      <c r="AC77" s="110"/>
    </row>
    <row r="78" spans="1:31" ht="20" customHeight="1">
      <c r="A78" s="398" t="str">
        <f>IFERROR(IF(ISBLANK(VLOOKUP(F78,'Aktuelle Einnahmen'!A48:G150,3,0)),"",VLOOKUP(F78,'Aktuelle Einnahmen'!A48:G150,3,0)),"")</f>
        <v/>
      </c>
      <c r="B78" s="399"/>
      <c r="C78" s="399"/>
      <c r="D78" s="399"/>
      <c r="E78" s="399"/>
      <c r="F78" s="417">
        <v>47</v>
      </c>
      <c r="G78" s="399"/>
      <c r="U78" s="110"/>
      <c r="V78" s="403"/>
      <c r="W78" s="403"/>
      <c r="X78" s="427" t="str">
        <f t="shared" si="1"/>
        <v/>
      </c>
      <c r="Y78" s="408"/>
      <c r="Z78" s="410"/>
      <c r="AA78" s="405" t="str">
        <f t="shared" si="2"/>
        <v/>
      </c>
      <c r="AB78" s="421" t="str">
        <f t="shared" si="3"/>
        <v/>
      </c>
      <c r="AC78" s="110"/>
    </row>
    <row r="79" spans="1:31" ht="20" customHeight="1">
      <c r="A79" s="398" t="str">
        <f>IFERROR(IF(ISBLANK(VLOOKUP(F79,'Aktuelle Einnahmen'!A49:G151,3,0)),"",VLOOKUP(F79,'Aktuelle Einnahmen'!A49:G151,3,0)),"")</f>
        <v/>
      </c>
      <c r="B79" s="399"/>
      <c r="C79" s="399"/>
      <c r="D79" s="399"/>
      <c r="E79" s="399"/>
      <c r="F79" s="417">
        <v>48</v>
      </c>
      <c r="G79" s="399"/>
      <c r="U79" s="110"/>
      <c r="V79" s="403"/>
      <c r="W79" s="403"/>
      <c r="X79" s="427" t="str">
        <f t="shared" si="1"/>
        <v/>
      </c>
      <c r="Y79" s="408"/>
      <c r="Z79" s="410"/>
      <c r="AA79" s="405" t="str">
        <f t="shared" si="2"/>
        <v/>
      </c>
      <c r="AB79" s="421" t="str">
        <f t="shared" si="3"/>
        <v/>
      </c>
      <c r="AC79" s="110"/>
    </row>
    <row r="80" spans="1:31" ht="20" customHeight="1">
      <c r="A80" s="398" t="str">
        <f>IFERROR(IF(ISBLANK(VLOOKUP(F80,'Aktuelle Einnahmen'!A50:G152,3,0)),"",VLOOKUP(F80,'Aktuelle Einnahmen'!A50:G152,3,0)),"")</f>
        <v/>
      </c>
      <c r="B80" s="399"/>
      <c r="C80" s="399"/>
      <c r="D80" s="399"/>
      <c r="E80" s="399"/>
      <c r="F80" s="417">
        <v>49</v>
      </c>
      <c r="G80" s="399"/>
      <c r="U80" s="110"/>
      <c r="V80" s="403"/>
      <c r="W80" s="403"/>
      <c r="X80" s="427" t="str">
        <f t="shared" si="1"/>
        <v/>
      </c>
      <c r="Y80" s="408"/>
      <c r="Z80" s="410"/>
      <c r="AA80" s="416" t="str">
        <f t="shared" si="2"/>
        <v/>
      </c>
      <c r="AB80" s="421" t="str">
        <f t="shared" si="3"/>
        <v/>
      </c>
      <c r="AC80" s="110"/>
    </row>
    <row r="81" spans="1:29" ht="20" customHeight="1" thickBot="1">
      <c r="A81" s="398" t="str">
        <f>IFERROR(IF(ISBLANK(VLOOKUP(F81,'Aktuelle Einnahmen'!A51:G153,3,0)),"",VLOOKUP(F81,'Aktuelle Einnahmen'!A51:G153,3,0)),"")</f>
        <v/>
      </c>
      <c r="B81" s="399"/>
      <c r="C81" s="399"/>
      <c r="D81" s="399"/>
      <c r="E81" s="399"/>
      <c r="F81" s="417">
        <v>50</v>
      </c>
      <c r="G81" s="399"/>
      <c r="U81" s="110"/>
      <c r="V81" s="403"/>
      <c r="W81" s="403"/>
      <c r="X81" s="428" t="str">
        <f t="shared" si="1"/>
        <v/>
      </c>
      <c r="Y81" s="422"/>
      <c r="Z81" s="423"/>
      <c r="AA81" s="424"/>
      <c r="AB81" s="425"/>
      <c r="AC81" s="110"/>
    </row>
    <row r="82" spans="1:29" ht="20" customHeight="1">
      <c r="A82" s="398" t="str">
        <f>IFERROR(IF(ISBLANK(VLOOKUP(F82,'Aktuelle Einnahmen'!A52:G154,3,0)),"",VLOOKUP(F82,'Aktuelle Einnahmen'!A52:G154,3,0)),"")</f>
        <v/>
      </c>
      <c r="B82" s="399"/>
      <c r="C82" s="399"/>
      <c r="D82" s="399"/>
      <c r="E82" s="399"/>
      <c r="F82" s="417">
        <v>51</v>
      </c>
      <c r="G82" s="399"/>
      <c r="U82" s="110"/>
      <c r="V82" s="403"/>
      <c r="W82" s="403"/>
      <c r="X82" s="411" t="str">
        <f t="shared" si="1"/>
        <v/>
      </c>
      <c r="Y82" s="412"/>
      <c r="Z82" s="410"/>
      <c r="AA82" s="415"/>
      <c r="AB82" s="410"/>
      <c r="AC82" s="110"/>
    </row>
    <row r="83" spans="1:29" ht="20" customHeight="1">
      <c r="A83" s="398" t="str">
        <f>IFERROR(IF(ISBLANK(VLOOKUP(F83,'Aktuelle Einnahmen'!A53:G155,3,0)),"",VLOOKUP(F83,'Aktuelle Einnahmen'!A53:G155,3,0)),"")</f>
        <v/>
      </c>
      <c r="B83" s="399"/>
      <c r="C83" s="399"/>
      <c r="D83" s="399"/>
      <c r="E83" s="399"/>
      <c r="F83" s="417">
        <v>52</v>
      </c>
      <c r="G83" s="399"/>
      <c r="U83" s="110"/>
      <c r="V83" s="403"/>
      <c r="W83" s="403"/>
      <c r="X83" s="413" t="str">
        <f t="shared" si="1"/>
        <v/>
      </c>
      <c r="Y83" s="414"/>
      <c r="AA83" s="110"/>
      <c r="AC83" s="110"/>
    </row>
    <row r="84" spans="1:29" ht="20" customHeight="1">
      <c r="A84" s="398" t="str">
        <f>IFERROR(IF(ISBLANK(VLOOKUP(F84,'Aktuelle Einnahmen'!A54:G156,3,0)),"",VLOOKUP(F84,'Aktuelle Einnahmen'!A54:G156,3,0)),"")</f>
        <v/>
      </c>
      <c r="B84" s="399"/>
      <c r="C84" s="399"/>
      <c r="D84" s="399"/>
      <c r="E84" s="399"/>
      <c r="F84" s="417">
        <v>53</v>
      </c>
      <c r="G84" s="399"/>
      <c r="U84" s="110"/>
      <c r="V84" s="403"/>
      <c r="W84" s="403"/>
      <c r="X84" s="413" t="str">
        <f t="shared" si="1"/>
        <v/>
      </c>
      <c r="Y84" s="414"/>
      <c r="AC84" s="110"/>
    </row>
    <row r="85" spans="1:29" ht="20" customHeight="1">
      <c r="A85" s="398" t="str">
        <f>IFERROR(IF(ISBLANK(VLOOKUP(F85,'Aktuelle Einnahmen'!A55:G157,3,0)),"",VLOOKUP(F85,'Aktuelle Einnahmen'!A55:G157,3,0)),"")</f>
        <v/>
      </c>
      <c r="B85" s="399"/>
      <c r="C85" s="399"/>
      <c r="D85" s="399"/>
      <c r="E85" s="399"/>
      <c r="F85" s="417">
        <v>54</v>
      </c>
      <c r="G85" s="399"/>
      <c r="U85" s="110"/>
      <c r="V85" s="403"/>
      <c r="W85" s="403"/>
      <c r="X85" s="413" t="str">
        <f t="shared" si="1"/>
        <v/>
      </c>
      <c r="Y85" s="414"/>
      <c r="AC85" s="110"/>
    </row>
    <row r="86" spans="1:29" ht="20" customHeight="1">
      <c r="A86" s="398" t="str">
        <f>IFERROR(IF(ISBLANK(VLOOKUP(F86,'Aktuelle Einnahmen'!A56:G158,3,0)),"",VLOOKUP(F86,'Aktuelle Einnahmen'!A56:G158,3,0)),"")</f>
        <v/>
      </c>
      <c r="B86" s="399"/>
      <c r="C86" s="399"/>
      <c r="D86" s="399"/>
      <c r="E86" s="399"/>
      <c r="F86" s="417">
        <v>55</v>
      </c>
      <c r="G86" s="399"/>
      <c r="U86" s="110"/>
      <c r="V86" s="403"/>
      <c r="W86" s="403"/>
      <c r="X86" s="413" t="str">
        <f t="shared" si="1"/>
        <v/>
      </c>
      <c r="Y86" s="414"/>
      <c r="AC86" s="110"/>
    </row>
    <row r="87" spans="1:29" ht="20" customHeight="1">
      <c r="A87" s="398" t="str">
        <f>IFERROR(IF(ISBLANK(VLOOKUP(F87,'Aktuelle Einnahmen'!A57:G159,3,0)),"",VLOOKUP(F87,'Aktuelle Einnahmen'!A57:G159,3,0)),"")</f>
        <v/>
      </c>
      <c r="B87" s="399"/>
      <c r="C87" s="399"/>
      <c r="D87" s="399"/>
      <c r="E87" s="399"/>
      <c r="F87" s="417">
        <v>56</v>
      </c>
      <c r="G87" s="399"/>
      <c r="U87" s="110"/>
      <c r="V87" s="403"/>
      <c r="W87" s="403"/>
      <c r="X87" s="413" t="str">
        <f t="shared" si="1"/>
        <v/>
      </c>
      <c r="Y87" s="414"/>
      <c r="AC87" s="110"/>
    </row>
    <row r="88" spans="1:29" ht="20" customHeight="1">
      <c r="A88" s="398" t="str">
        <f>IFERROR(IF(ISBLANK(VLOOKUP(F88,'Aktuelle Einnahmen'!A58:G160,3,0)),"",VLOOKUP(F88,'Aktuelle Einnahmen'!A58:G160,3,0)),"")</f>
        <v/>
      </c>
      <c r="B88" s="399"/>
      <c r="C88" s="399"/>
      <c r="D88" s="399"/>
      <c r="E88" s="399"/>
      <c r="F88" s="417">
        <v>57</v>
      </c>
      <c r="G88" s="399"/>
      <c r="U88" s="110"/>
      <c r="V88" s="403"/>
      <c r="W88" s="403"/>
      <c r="X88" s="413" t="str">
        <f t="shared" si="1"/>
        <v/>
      </c>
      <c r="Y88" s="414"/>
      <c r="AC88" s="110"/>
    </row>
    <row r="89" spans="1:29" ht="20" customHeight="1">
      <c r="A89" s="398" t="str">
        <f>IFERROR(IF(ISBLANK(VLOOKUP(F89,'Aktuelle Einnahmen'!A59:G161,3,0)),"",VLOOKUP(F89,'Aktuelle Einnahmen'!A59:G161,3,0)),"")</f>
        <v/>
      </c>
      <c r="B89" s="399"/>
      <c r="C89" s="399"/>
      <c r="D89" s="399"/>
      <c r="E89" s="399"/>
      <c r="F89" s="417">
        <v>58</v>
      </c>
      <c r="G89" s="399"/>
      <c r="U89" s="110"/>
      <c r="V89" s="403"/>
      <c r="W89" s="403"/>
      <c r="X89" s="413" t="str">
        <f t="shared" si="1"/>
        <v/>
      </c>
      <c r="Y89" s="414"/>
      <c r="AC89" s="110"/>
    </row>
    <row r="90" spans="1:29" ht="20" customHeight="1">
      <c r="A90" s="398" t="str">
        <f>IFERROR(IF(ISBLANK(VLOOKUP(F90,'Aktuelle Einnahmen'!A60:G162,3,0)),"",VLOOKUP(F90,'Aktuelle Einnahmen'!A60:G162,3,0)),"")</f>
        <v/>
      </c>
      <c r="B90" s="399"/>
      <c r="C90" s="399"/>
      <c r="D90" s="399"/>
      <c r="E90" s="399"/>
      <c r="F90" s="417">
        <v>59</v>
      </c>
      <c r="G90" s="399"/>
      <c r="U90" s="110"/>
      <c r="V90" s="403"/>
      <c r="W90" s="403"/>
      <c r="X90" s="413" t="str">
        <f t="shared" si="1"/>
        <v/>
      </c>
      <c r="Y90" s="414"/>
      <c r="AC90" s="110"/>
    </row>
    <row r="91" spans="1:29" ht="20" customHeight="1">
      <c r="A91" s="398" t="str">
        <f>IFERROR(IF(ISBLANK(VLOOKUP(F91,'Aktuelle Einnahmen'!A61:G163,3,0)),"",VLOOKUP(F91,'Aktuelle Einnahmen'!A61:G163,3,0)),"")</f>
        <v/>
      </c>
      <c r="B91" s="399"/>
      <c r="C91" s="399"/>
      <c r="D91" s="399"/>
      <c r="E91" s="399"/>
      <c r="F91" s="417">
        <v>60</v>
      </c>
      <c r="G91" s="399"/>
      <c r="U91" s="110"/>
      <c r="V91" s="403"/>
      <c r="W91" s="403"/>
      <c r="X91" s="413" t="str">
        <f t="shared" si="1"/>
        <v/>
      </c>
      <c r="Y91" s="414"/>
      <c r="AC91" s="110"/>
    </row>
    <row r="92" spans="1:29" ht="20" customHeight="1">
      <c r="A92" s="398" t="str">
        <f>IFERROR(IF(ISBLANK(VLOOKUP(F92,'Aktuelle Einnahmen'!A62:G164,3,0)),"",VLOOKUP(F92,'Aktuelle Einnahmen'!A62:G164,3,0)),"")</f>
        <v/>
      </c>
      <c r="B92" s="399"/>
      <c r="C92" s="399"/>
      <c r="D92" s="399"/>
      <c r="E92" s="399"/>
      <c r="F92" s="417">
        <v>61</v>
      </c>
      <c r="G92" s="399"/>
      <c r="U92" s="110"/>
      <c r="V92" s="403"/>
      <c r="W92" s="403"/>
      <c r="X92" s="413" t="str">
        <f t="shared" si="1"/>
        <v/>
      </c>
      <c r="Y92" s="414"/>
      <c r="AC92" s="110"/>
    </row>
    <row r="93" spans="1:29" ht="20" customHeight="1">
      <c r="A93" s="398" t="str">
        <f>IFERROR(IF(ISBLANK(VLOOKUP(F93,'Aktuelle Einnahmen'!A63:G165,3,0)),"",VLOOKUP(F93,'Aktuelle Einnahmen'!A63:G165,3,0)),"")</f>
        <v/>
      </c>
      <c r="B93" s="399"/>
      <c r="C93" s="399"/>
      <c r="D93" s="399"/>
      <c r="E93" s="399"/>
      <c r="F93" s="417">
        <v>62</v>
      </c>
      <c r="G93" s="399"/>
      <c r="U93" s="110"/>
      <c r="V93" s="403"/>
      <c r="W93" s="403"/>
      <c r="X93" s="413" t="str">
        <f t="shared" si="1"/>
        <v/>
      </c>
      <c r="Y93" s="414"/>
      <c r="AC93" s="110"/>
    </row>
    <row r="94" spans="1:29" ht="20" customHeight="1">
      <c r="A94" s="398" t="str">
        <f>IFERROR(IF(ISBLANK(VLOOKUP(F94,'Aktuelle Einnahmen'!A64:G166,3,0)),"",VLOOKUP(F94,'Aktuelle Einnahmen'!A64:G166,3,0)),"")</f>
        <v/>
      </c>
      <c r="B94" s="399"/>
      <c r="C94" s="399"/>
      <c r="D94" s="399"/>
      <c r="E94" s="399"/>
      <c r="F94" s="417">
        <v>63</v>
      </c>
      <c r="G94" s="399"/>
      <c r="U94" s="110"/>
      <c r="V94" s="403"/>
      <c r="W94" s="403"/>
      <c r="X94" s="413" t="str">
        <f t="shared" si="1"/>
        <v/>
      </c>
      <c r="Y94" s="414"/>
      <c r="AC94" s="110"/>
    </row>
    <row r="95" spans="1:29" ht="20" customHeight="1">
      <c r="A95" s="398" t="str">
        <f>IFERROR(IF(ISBLANK(VLOOKUP(F95,'Aktuelle Einnahmen'!A65:G167,3,0)),"",VLOOKUP(F95,'Aktuelle Einnahmen'!A65:G167,3,0)),"")</f>
        <v/>
      </c>
      <c r="B95" s="399"/>
      <c r="C95" s="399"/>
      <c r="D95" s="399"/>
      <c r="E95" s="399"/>
      <c r="F95" s="417">
        <v>64</v>
      </c>
      <c r="G95" s="399"/>
      <c r="U95" s="110"/>
      <c r="V95" s="403"/>
      <c r="W95" s="403"/>
      <c r="X95" s="413" t="str">
        <f t="shared" si="1"/>
        <v/>
      </c>
      <c r="Y95" s="414"/>
      <c r="AC95" s="110"/>
    </row>
    <row r="96" spans="1:29" ht="20" customHeight="1">
      <c r="A96" s="398" t="str">
        <f>IFERROR(IF(ISBLANK(VLOOKUP(F96,'Aktuelle Einnahmen'!A66:G168,3,0)),"",VLOOKUP(F96,'Aktuelle Einnahmen'!A66:G168,3,0)),"")</f>
        <v/>
      </c>
      <c r="B96" s="399"/>
      <c r="C96" s="399"/>
      <c r="D96" s="399"/>
      <c r="E96" s="399"/>
      <c r="F96" s="417">
        <v>65</v>
      </c>
      <c r="G96" s="399"/>
      <c r="U96" s="110"/>
      <c r="V96" s="403"/>
      <c r="W96" s="403"/>
      <c r="X96" s="413" t="str">
        <f t="shared" si="1"/>
        <v/>
      </c>
      <c r="Y96" s="414"/>
      <c r="AC96" s="110"/>
    </row>
    <row r="97" spans="1:29" ht="20" customHeight="1">
      <c r="A97" s="398" t="str">
        <f>IFERROR(IF(ISBLANK(VLOOKUP(F97,'Aktuelle Einnahmen'!A67:G169,3,0)),"",VLOOKUP(F97,'Aktuelle Einnahmen'!A67:G169,3,0)),"")</f>
        <v/>
      </c>
      <c r="B97" s="399"/>
      <c r="C97" s="399"/>
      <c r="D97" s="399"/>
      <c r="E97" s="399"/>
      <c r="F97" s="417">
        <v>66</v>
      </c>
      <c r="G97" s="399"/>
      <c r="U97" s="110"/>
      <c r="V97" s="403"/>
      <c r="W97" s="403"/>
      <c r="X97" s="413" t="str">
        <f t="shared" ref="X97:X130" si="4">IFERROR(INDEX($F$32:$F$130, MATCH(Y97, $A$32:$A$130, 0)), "")</f>
        <v/>
      </c>
      <c r="Y97" s="414"/>
      <c r="AC97" s="110"/>
    </row>
    <row r="98" spans="1:29" ht="20" customHeight="1">
      <c r="A98" s="398" t="str">
        <f>IFERROR(IF(ISBLANK(VLOOKUP(F98,'Aktuelle Einnahmen'!A68:G170,3,0)),"",VLOOKUP(F98,'Aktuelle Einnahmen'!A68:G170,3,0)),"")</f>
        <v/>
      </c>
      <c r="B98" s="399"/>
      <c r="C98" s="399"/>
      <c r="D98" s="399"/>
      <c r="E98" s="399"/>
      <c r="F98" s="417">
        <v>67</v>
      </c>
      <c r="G98" s="399"/>
      <c r="U98" s="110"/>
      <c r="V98" s="403"/>
      <c r="W98" s="403"/>
      <c r="X98" s="413" t="str">
        <f t="shared" si="4"/>
        <v/>
      </c>
      <c r="Y98" s="414"/>
      <c r="AC98" s="110"/>
    </row>
    <row r="99" spans="1:29" ht="20" customHeight="1">
      <c r="A99" s="398" t="str">
        <f>IFERROR(IF(ISBLANK(VLOOKUP(F99,'Aktuelle Einnahmen'!A69:G171,3,0)),"",VLOOKUP(F99,'Aktuelle Einnahmen'!A69:G171,3,0)),"")</f>
        <v/>
      </c>
      <c r="B99" s="399"/>
      <c r="C99" s="399"/>
      <c r="D99" s="399"/>
      <c r="E99" s="399"/>
      <c r="F99" s="417">
        <v>68</v>
      </c>
      <c r="G99" s="399"/>
      <c r="U99" s="110"/>
      <c r="V99" s="403"/>
      <c r="W99" s="403"/>
      <c r="X99" s="413" t="str">
        <f t="shared" si="4"/>
        <v/>
      </c>
      <c r="Y99" s="414"/>
      <c r="AC99" s="110"/>
    </row>
    <row r="100" spans="1:29" ht="20" customHeight="1">
      <c r="A100" s="398" t="str">
        <f>IFERROR(IF(ISBLANK(VLOOKUP(F100,'Aktuelle Einnahmen'!A70:G172,3,0)),"",VLOOKUP(F100,'Aktuelle Einnahmen'!A70:G172,3,0)),"")</f>
        <v/>
      </c>
      <c r="B100" s="399"/>
      <c r="C100" s="399"/>
      <c r="D100" s="399"/>
      <c r="E100" s="399"/>
      <c r="F100" s="417">
        <v>69</v>
      </c>
      <c r="G100" s="399"/>
      <c r="U100" s="110"/>
      <c r="V100" s="403"/>
      <c r="W100" s="403"/>
      <c r="X100" s="413" t="str">
        <f t="shared" si="4"/>
        <v/>
      </c>
      <c r="Y100" s="414"/>
      <c r="AC100" s="110"/>
    </row>
    <row r="101" spans="1:29" ht="20" customHeight="1">
      <c r="A101" s="398" t="str">
        <f>IFERROR(IF(ISBLANK(VLOOKUP(F101,'Aktuelle Einnahmen'!A71:G173,3,0)),"",VLOOKUP(F101,'Aktuelle Einnahmen'!A71:G173,3,0)),"")</f>
        <v/>
      </c>
      <c r="B101" s="399"/>
      <c r="C101" s="399"/>
      <c r="D101" s="399"/>
      <c r="E101" s="399"/>
      <c r="F101" s="417">
        <v>70</v>
      </c>
      <c r="G101" s="399"/>
      <c r="U101" s="110"/>
      <c r="V101" s="403"/>
      <c r="W101" s="403"/>
      <c r="X101" s="413" t="str">
        <f t="shared" si="4"/>
        <v/>
      </c>
      <c r="Y101" s="414"/>
      <c r="AC101" s="110"/>
    </row>
    <row r="102" spans="1:29" ht="20" customHeight="1">
      <c r="A102" s="398" t="str">
        <f>IFERROR(IF(ISBLANK(VLOOKUP(F102,'Aktuelle Einnahmen'!A72:G174,3,0)),"",VLOOKUP(F102,'Aktuelle Einnahmen'!A72:G174,3,0)),"")</f>
        <v/>
      </c>
      <c r="B102" s="399"/>
      <c r="C102" s="399"/>
      <c r="D102" s="399"/>
      <c r="E102" s="399"/>
      <c r="F102" s="417">
        <v>71</v>
      </c>
      <c r="G102" s="399"/>
      <c r="U102" s="110"/>
      <c r="V102" s="403"/>
      <c r="W102" s="403"/>
      <c r="X102" s="413" t="str">
        <f t="shared" si="4"/>
        <v/>
      </c>
      <c r="Y102" s="414"/>
      <c r="AC102" s="110"/>
    </row>
    <row r="103" spans="1:29" ht="20" customHeight="1">
      <c r="A103" s="398" t="str">
        <f>IFERROR(IF(ISBLANK(VLOOKUP(F103,'Aktuelle Einnahmen'!A73:G175,3,0)),"",VLOOKUP(F103,'Aktuelle Einnahmen'!A73:G175,3,0)),"")</f>
        <v/>
      </c>
      <c r="B103" s="399"/>
      <c r="C103" s="399"/>
      <c r="D103" s="399"/>
      <c r="E103" s="399"/>
      <c r="F103" s="417">
        <v>72</v>
      </c>
      <c r="G103" s="399"/>
      <c r="U103" s="110"/>
      <c r="V103" s="403"/>
      <c r="W103" s="403"/>
      <c r="X103" s="413" t="str">
        <f t="shared" si="4"/>
        <v/>
      </c>
      <c r="Y103" s="414"/>
      <c r="AC103" s="110"/>
    </row>
    <row r="104" spans="1:29" ht="20" customHeight="1">
      <c r="A104" s="398" t="str">
        <f>IFERROR(IF(ISBLANK(VLOOKUP(F104,'Aktuelle Einnahmen'!A74:G176,3,0)),"",VLOOKUP(F104,'Aktuelle Einnahmen'!A74:G176,3,0)),"")</f>
        <v/>
      </c>
      <c r="B104" s="399"/>
      <c r="C104" s="399"/>
      <c r="D104" s="399"/>
      <c r="E104" s="399"/>
      <c r="F104" s="417">
        <v>73</v>
      </c>
      <c r="G104" s="399"/>
      <c r="U104" s="110"/>
      <c r="V104" s="403"/>
      <c r="W104" s="403"/>
      <c r="X104" s="413" t="str">
        <f t="shared" si="4"/>
        <v/>
      </c>
      <c r="Y104" s="414"/>
      <c r="AC104" s="110"/>
    </row>
    <row r="105" spans="1:29" ht="20" customHeight="1">
      <c r="A105" s="398" t="str">
        <f>IFERROR(IF(ISBLANK(VLOOKUP(F105,'Aktuelle Einnahmen'!A75:G177,3,0)),"",VLOOKUP(F105,'Aktuelle Einnahmen'!A75:G177,3,0)),"")</f>
        <v/>
      </c>
      <c r="B105" s="399"/>
      <c r="C105" s="399"/>
      <c r="D105" s="399"/>
      <c r="E105" s="399"/>
      <c r="F105" s="417">
        <v>74</v>
      </c>
      <c r="G105" s="399"/>
      <c r="U105" s="110"/>
      <c r="V105" s="403"/>
      <c r="W105" s="403"/>
      <c r="X105" s="413" t="str">
        <f t="shared" si="4"/>
        <v/>
      </c>
      <c r="Y105" s="414"/>
      <c r="AC105" s="110"/>
    </row>
    <row r="106" spans="1:29" ht="20" customHeight="1">
      <c r="A106" s="398" t="str">
        <f>IFERROR(IF(ISBLANK(VLOOKUP(F106,'Aktuelle Einnahmen'!A76:G178,3,0)),"",VLOOKUP(F106,'Aktuelle Einnahmen'!A76:G178,3,0)),"")</f>
        <v/>
      </c>
      <c r="B106" s="399"/>
      <c r="C106" s="399"/>
      <c r="D106" s="399"/>
      <c r="E106" s="399"/>
      <c r="F106" s="417">
        <v>75</v>
      </c>
      <c r="G106" s="399"/>
      <c r="U106" s="110"/>
      <c r="V106" s="403"/>
      <c r="W106" s="403"/>
      <c r="X106" s="413" t="str">
        <f t="shared" si="4"/>
        <v/>
      </c>
      <c r="Y106" s="414"/>
      <c r="AC106" s="110"/>
    </row>
    <row r="107" spans="1:29" ht="20" customHeight="1">
      <c r="A107" s="398" t="str">
        <f>IFERROR(IF(ISBLANK(VLOOKUP(F107,'Aktuelle Einnahmen'!A77:G179,3,0)),"",VLOOKUP(F107,'Aktuelle Einnahmen'!A77:G179,3,0)),"")</f>
        <v/>
      </c>
      <c r="B107" s="399"/>
      <c r="C107" s="399"/>
      <c r="D107" s="399"/>
      <c r="E107" s="399"/>
      <c r="F107" s="417">
        <v>76</v>
      </c>
      <c r="G107" s="399"/>
      <c r="U107" s="110"/>
      <c r="V107" s="403"/>
      <c r="W107" s="403"/>
      <c r="X107" s="413" t="str">
        <f t="shared" si="4"/>
        <v/>
      </c>
      <c r="Y107" s="414"/>
      <c r="AC107" s="110"/>
    </row>
    <row r="108" spans="1:29" ht="20" customHeight="1">
      <c r="A108" s="398" t="str">
        <f>IFERROR(IF(ISBLANK(VLOOKUP(F108,'Aktuelle Einnahmen'!A78:G180,3,0)),"",VLOOKUP(F108,'Aktuelle Einnahmen'!A78:G180,3,0)),"")</f>
        <v/>
      </c>
      <c r="B108" s="399"/>
      <c r="C108" s="399"/>
      <c r="D108" s="399"/>
      <c r="E108" s="399"/>
      <c r="F108" s="417">
        <v>77</v>
      </c>
      <c r="G108" s="399"/>
      <c r="U108" s="110"/>
      <c r="V108" s="403"/>
      <c r="W108" s="403"/>
      <c r="X108" s="413" t="str">
        <f t="shared" si="4"/>
        <v/>
      </c>
      <c r="Y108" s="414"/>
      <c r="AC108" s="110"/>
    </row>
    <row r="109" spans="1:29" ht="20" customHeight="1">
      <c r="A109" s="398" t="str">
        <f>IFERROR(IF(ISBLANK(VLOOKUP(F109,'Aktuelle Einnahmen'!A79:G181,3,0)),"",VLOOKUP(F109,'Aktuelle Einnahmen'!A79:G181,3,0)),"")</f>
        <v/>
      </c>
      <c r="B109" s="399"/>
      <c r="C109" s="399"/>
      <c r="D109" s="399"/>
      <c r="E109" s="399"/>
      <c r="F109" s="417">
        <v>78</v>
      </c>
      <c r="G109" s="399"/>
      <c r="U109" s="110"/>
      <c r="V109" s="403"/>
      <c r="W109" s="403"/>
      <c r="X109" s="413" t="str">
        <f t="shared" si="4"/>
        <v/>
      </c>
      <c r="Y109" s="414"/>
      <c r="AC109" s="110"/>
    </row>
    <row r="110" spans="1:29" ht="20" customHeight="1">
      <c r="A110" s="398" t="str">
        <f>IFERROR(IF(ISBLANK(VLOOKUP(F110,'Aktuelle Einnahmen'!A80:G182,3,0)),"",VLOOKUP(F110,'Aktuelle Einnahmen'!A80:G182,3,0)),"")</f>
        <v/>
      </c>
      <c r="B110" s="399"/>
      <c r="C110" s="399"/>
      <c r="D110" s="399"/>
      <c r="E110" s="399"/>
      <c r="F110" s="417">
        <v>79</v>
      </c>
      <c r="G110" s="399"/>
      <c r="U110" s="110"/>
      <c r="V110" s="403"/>
      <c r="W110" s="403"/>
      <c r="X110" s="413" t="str">
        <f t="shared" si="4"/>
        <v/>
      </c>
      <c r="Y110" s="414"/>
      <c r="AC110" s="110"/>
    </row>
    <row r="111" spans="1:29" ht="20" customHeight="1">
      <c r="A111" s="398" t="str">
        <f>IFERROR(IF(ISBLANK(VLOOKUP(F111,'Aktuelle Einnahmen'!A81:G183,3,0)),"",VLOOKUP(F111,'Aktuelle Einnahmen'!A81:G183,3,0)),"")</f>
        <v/>
      </c>
      <c r="B111" s="399"/>
      <c r="C111" s="399"/>
      <c r="D111" s="399"/>
      <c r="E111" s="399"/>
      <c r="F111" s="417">
        <v>80</v>
      </c>
      <c r="G111" s="399"/>
      <c r="U111" s="110"/>
      <c r="V111" s="403"/>
      <c r="W111" s="403"/>
      <c r="X111" s="413" t="str">
        <f t="shared" si="4"/>
        <v/>
      </c>
      <c r="Y111" s="414"/>
      <c r="AC111" s="110"/>
    </row>
    <row r="112" spans="1:29" ht="20" customHeight="1">
      <c r="A112" s="398" t="str">
        <f>IFERROR(IF(ISBLANK(VLOOKUP(F112,'Aktuelle Einnahmen'!A82:G184,3,0)),"",VLOOKUP(F112,'Aktuelle Einnahmen'!A82:G184,3,0)),"")</f>
        <v/>
      </c>
      <c r="B112" s="399"/>
      <c r="C112" s="399"/>
      <c r="D112" s="399"/>
      <c r="E112" s="399"/>
      <c r="F112" s="417">
        <v>81</v>
      </c>
      <c r="G112" s="399"/>
      <c r="U112" s="110"/>
      <c r="V112" s="403"/>
      <c r="W112" s="403"/>
      <c r="X112" s="413" t="str">
        <f t="shared" si="4"/>
        <v/>
      </c>
      <c r="Y112" s="414"/>
      <c r="AC112" s="110"/>
    </row>
    <row r="113" spans="1:29" ht="20" customHeight="1">
      <c r="A113" s="398" t="str">
        <f>IFERROR(IF(ISBLANK(VLOOKUP(F113,'Aktuelle Einnahmen'!A83:G185,3,0)),"",VLOOKUP(F113,'Aktuelle Einnahmen'!A83:G185,3,0)),"")</f>
        <v/>
      </c>
      <c r="B113" s="399"/>
      <c r="C113" s="399"/>
      <c r="D113" s="399"/>
      <c r="E113" s="399"/>
      <c r="F113" s="417">
        <v>82</v>
      </c>
      <c r="G113" s="399"/>
      <c r="U113" s="110"/>
      <c r="V113" s="403"/>
      <c r="W113" s="403"/>
      <c r="X113" s="413" t="str">
        <f t="shared" si="4"/>
        <v/>
      </c>
      <c r="Y113" s="414"/>
      <c r="AC113" s="110"/>
    </row>
    <row r="114" spans="1:29" ht="20" customHeight="1">
      <c r="A114" s="398" t="str">
        <f>IFERROR(IF(ISBLANK(VLOOKUP(F114,'Aktuelle Einnahmen'!A84:G186,3,0)),"",VLOOKUP(F114,'Aktuelle Einnahmen'!A84:G186,3,0)),"")</f>
        <v/>
      </c>
      <c r="B114" s="399"/>
      <c r="C114" s="399"/>
      <c r="D114" s="399"/>
      <c r="E114" s="399"/>
      <c r="F114" s="417">
        <v>83</v>
      </c>
      <c r="G114" s="399"/>
      <c r="U114" s="110"/>
      <c r="V114" s="403"/>
      <c r="W114" s="403"/>
      <c r="X114" s="413" t="str">
        <f t="shared" si="4"/>
        <v/>
      </c>
      <c r="Y114" s="414"/>
      <c r="AC114" s="110"/>
    </row>
    <row r="115" spans="1:29" ht="20" customHeight="1">
      <c r="A115" s="398" t="str">
        <f>IFERROR(IF(ISBLANK(VLOOKUP(F115,'Aktuelle Einnahmen'!A85:G187,3,0)),"",VLOOKUP(F115,'Aktuelle Einnahmen'!A85:G187,3,0)),"")</f>
        <v/>
      </c>
      <c r="B115" s="399"/>
      <c r="C115" s="399"/>
      <c r="D115" s="399"/>
      <c r="E115" s="399"/>
      <c r="F115" s="417">
        <v>84</v>
      </c>
      <c r="G115" s="399"/>
      <c r="U115" s="110"/>
      <c r="V115" s="403"/>
      <c r="W115" s="403"/>
      <c r="X115" s="413" t="str">
        <f t="shared" si="4"/>
        <v/>
      </c>
      <c r="Y115" s="414"/>
      <c r="AC115" s="110"/>
    </row>
    <row r="116" spans="1:29" ht="20" customHeight="1">
      <c r="A116" s="398" t="str">
        <f>IFERROR(IF(ISBLANK(VLOOKUP(F116,'Aktuelle Einnahmen'!A86:G188,3,0)),"",VLOOKUP(F116,'Aktuelle Einnahmen'!A86:G188,3,0)),"")</f>
        <v/>
      </c>
      <c r="B116" s="399"/>
      <c r="C116" s="399"/>
      <c r="D116" s="399"/>
      <c r="E116" s="399"/>
      <c r="F116" s="417">
        <v>85</v>
      </c>
      <c r="G116" s="399"/>
      <c r="U116" s="110"/>
      <c r="V116" s="403"/>
      <c r="W116" s="403"/>
      <c r="X116" s="413" t="str">
        <f t="shared" si="4"/>
        <v/>
      </c>
      <c r="Y116" s="414"/>
      <c r="AC116" s="110"/>
    </row>
    <row r="117" spans="1:29" ht="20" customHeight="1">
      <c r="A117" s="398" t="str">
        <f>IFERROR(IF(ISBLANK(VLOOKUP(F117,'Aktuelle Einnahmen'!A87:G189,3,0)),"",VLOOKUP(F117,'Aktuelle Einnahmen'!A87:G189,3,0)),"")</f>
        <v/>
      </c>
      <c r="B117" s="399"/>
      <c r="C117" s="399"/>
      <c r="D117" s="399"/>
      <c r="E117" s="399"/>
      <c r="F117" s="417">
        <v>86</v>
      </c>
      <c r="G117" s="399"/>
      <c r="U117" s="110"/>
      <c r="V117" s="403"/>
      <c r="W117" s="403"/>
      <c r="X117" s="413" t="str">
        <f t="shared" si="4"/>
        <v/>
      </c>
      <c r="Y117" s="414"/>
      <c r="AC117" s="110"/>
    </row>
    <row r="118" spans="1:29" ht="20" customHeight="1">
      <c r="A118" s="398" t="str">
        <f>IFERROR(IF(ISBLANK(VLOOKUP(F118,'Aktuelle Einnahmen'!A88:G190,3,0)),"",VLOOKUP(F118,'Aktuelle Einnahmen'!A88:G190,3,0)),"")</f>
        <v/>
      </c>
      <c r="B118" s="399"/>
      <c r="C118" s="399"/>
      <c r="D118" s="399"/>
      <c r="E118" s="399"/>
      <c r="F118" s="417">
        <v>87</v>
      </c>
      <c r="G118" s="399"/>
      <c r="U118" s="110"/>
      <c r="V118" s="403"/>
      <c r="W118" s="403"/>
      <c r="X118" s="413" t="str">
        <f t="shared" si="4"/>
        <v/>
      </c>
      <c r="Y118" s="414"/>
      <c r="AC118" s="110"/>
    </row>
    <row r="119" spans="1:29" ht="20" customHeight="1">
      <c r="A119" s="398" t="str">
        <f>IFERROR(IF(ISBLANK(VLOOKUP(F119,'Aktuelle Einnahmen'!A89:G191,3,0)),"",VLOOKUP(F119,'Aktuelle Einnahmen'!A89:G191,3,0)),"")</f>
        <v/>
      </c>
      <c r="B119" s="399"/>
      <c r="C119" s="399"/>
      <c r="D119" s="399"/>
      <c r="E119" s="399"/>
      <c r="F119" s="417">
        <v>88</v>
      </c>
      <c r="G119" s="399"/>
      <c r="U119" s="110"/>
      <c r="V119" s="403"/>
      <c r="W119" s="403"/>
      <c r="X119" s="413" t="str">
        <f t="shared" si="4"/>
        <v/>
      </c>
      <c r="Y119" s="414"/>
      <c r="AC119" s="110"/>
    </row>
    <row r="120" spans="1:29" ht="20" customHeight="1">
      <c r="A120" s="398" t="str">
        <f>IFERROR(IF(ISBLANK(VLOOKUP(F120,'Aktuelle Einnahmen'!A90:G192,3,0)),"",VLOOKUP(F120,'Aktuelle Einnahmen'!A90:G192,3,0)),"")</f>
        <v/>
      </c>
      <c r="B120" s="399"/>
      <c r="C120" s="399"/>
      <c r="D120" s="399"/>
      <c r="E120" s="399"/>
      <c r="F120" s="417">
        <v>89</v>
      </c>
      <c r="G120" s="399"/>
      <c r="U120" s="110"/>
      <c r="V120" s="403"/>
      <c r="W120" s="403"/>
      <c r="X120" s="413" t="str">
        <f t="shared" si="4"/>
        <v/>
      </c>
      <c r="Y120" s="414"/>
      <c r="AC120" s="110"/>
    </row>
    <row r="121" spans="1:29" ht="20" customHeight="1">
      <c r="A121" s="398" t="str">
        <f>IFERROR(IF(ISBLANK(VLOOKUP(F121,'Aktuelle Einnahmen'!A91:G193,3,0)),"",VLOOKUP(F121,'Aktuelle Einnahmen'!A91:G193,3,0)),"")</f>
        <v/>
      </c>
      <c r="B121" s="399"/>
      <c r="C121" s="399"/>
      <c r="D121" s="399"/>
      <c r="E121" s="399"/>
      <c r="F121" s="417">
        <v>90</v>
      </c>
      <c r="G121" s="399"/>
      <c r="U121" s="110"/>
      <c r="V121" s="403"/>
      <c r="W121" s="403"/>
      <c r="X121" s="413" t="str">
        <f t="shared" si="4"/>
        <v/>
      </c>
      <c r="Y121" s="414"/>
      <c r="AC121" s="110"/>
    </row>
    <row r="122" spans="1:29" ht="20" customHeight="1">
      <c r="A122" s="398" t="str">
        <f>IFERROR(IF(ISBLANK(VLOOKUP(F122,'Aktuelle Einnahmen'!A92:G194,3,0)),"",VLOOKUP(F122,'Aktuelle Einnahmen'!A92:G194,3,0)),"")</f>
        <v/>
      </c>
      <c r="B122" s="399"/>
      <c r="C122" s="399"/>
      <c r="D122" s="399"/>
      <c r="E122" s="399"/>
      <c r="F122" s="417">
        <v>91</v>
      </c>
      <c r="G122" s="399"/>
      <c r="U122" s="110"/>
      <c r="V122" s="403"/>
      <c r="W122" s="403"/>
      <c r="X122" s="413" t="str">
        <f t="shared" si="4"/>
        <v/>
      </c>
      <c r="Y122" s="414"/>
      <c r="AC122" s="110"/>
    </row>
    <row r="123" spans="1:29" ht="20" customHeight="1">
      <c r="A123" s="398" t="str">
        <f>IFERROR(IF(ISBLANK(VLOOKUP(F123,'Aktuelle Einnahmen'!A93:G195,3,0)),"",VLOOKUP(F123,'Aktuelle Einnahmen'!A93:G195,3,0)),"")</f>
        <v/>
      </c>
      <c r="B123" s="399"/>
      <c r="C123" s="399"/>
      <c r="D123" s="399"/>
      <c r="E123" s="399"/>
      <c r="F123" s="417">
        <v>92</v>
      </c>
      <c r="G123" s="399"/>
      <c r="U123" s="110"/>
      <c r="V123" s="403"/>
      <c r="W123" s="403"/>
      <c r="X123" s="413" t="str">
        <f t="shared" si="4"/>
        <v/>
      </c>
      <c r="Y123" s="414"/>
      <c r="AC123" s="110"/>
    </row>
    <row r="124" spans="1:29" ht="20" customHeight="1">
      <c r="A124" s="398" t="str">
        <f>IFERROR(IF(ISBLANK(VLOOKUP(F124,'Aktuelle Einnahmen'!A94:G196,3,0)),"",VLOOKUP(F124,'Aktuelle Einnahmen'!A94:G196,3,0)),"")</f>
        <v/>
      </c>
      <c r="B124" s="399"/>
      <c r="C124" s="399"/>
      <c r="D124" s="399"/>
      <c r="E124" s="399"/>
      <c r="F124" s="417">
        <v>93</v>
      </c>
      <c r="G124" s="399"/>
      <c r="U124" s="110"/>
      <c r="V124" s="403"/>
      <c r="W124" s="403"/>
      <c r="X124" s="413" t="str">
        <f t="shared" si="4"/>
        <v/>
      </c>
      <c r="Y124" s="414"/>
      <c r="AC124" s="110"/>
    </row>
    <row r="125" spans="1:29" ht="20" customHeight="1">
      <c r="A125" s="398" t="str">
        <f>IFERROR(IF(ISBLANK(VLOOKUP(F125,'Aktuelle Einnahmen'!A95:G197,3,0)),"",VLOOKUP(F125,'Aktuelle Einnahmen'!A95:G197,3,0)),"")</f>
        <v/>
      </c>
      <c r="B125" s="399"/>
      <c r="C125" s="399"/>
      <c r="D125" s="399"/>
      <c r="E125" s="399"/>
      <c r="F125" s="417">
        <v>94</v>
      </c>
      <c r="G125" s="399"/>
      <c r="U125" s="110"/>
      <c r="V125" s="403"/>
      <c r="W125" s="403"/>
      <c r="X125" s="413" t="str">
        <f t="shared" si="4"/>
        <v/>
      </c>
      <c r="Y125" s="414"/>
      <c r="AC125" s="110"/>
    </row>
    <row r="126" spans="1:29" ht="20" customHeight="1">
      <c r="A126" s="398" t="str">
        <f>IFERROR(IF(ISBLANK(VLOOKUP(F126,'Aktuelle Einnahmen'!A96:G198,3,0)),"",VLOOKUP(F126,'Aktuelle Einnahmen'!A96:G198,3,0)),"")</f>
        <v/>
      </c>
      <c r="B126" s="399"/>
      <c r="C126" s="399"/>
      <c r="D126" s="399"/>
      <c r="E126" s="399"/>
      <c r="F126" s="417">
        <v>95</v>
      </c>
      <c r="G126" s="399"/>
      <c r="U126" s="110"/>
      <c r="V126" s="403"/>
      <c r="W126" s="403"/>
      <c r="X126" s="413" t="str">
        <f t="shared" si="4"/>
        <v/>
      </c>
      <c r="Y126" s="414"/>
      <c r="AC126" s="110"/>
    </row>
    <row r="127" spans="1:29" ht="20" customHeight="1">
      <c r="A127" s="398" t="str">
        <f>IFERROR(IF(ISBLANK(VLOOKUP(F127,'Aktuelle Einnahmen'!A97:G199,3,0)),"",VLOOKUP(F127,'Aktuelle Einnahmen'!A97:G199,3,0)),"")</f>
        <v/>
      </c>
      <c r="B127" s="399"/>
      <c r="C127" s="399"/>
      <c r="D127" s="399"/>
      <c r="E127" s="399"/>
      <c r="F127" s="417">
        <v>96</v>
      </c>
      <c r="G127" s="399"/>
      <c r="U127" s="110"/>
      <c r="V127" s="403"/>
      <c r="W127" s="403"/>
      <c r="X127" s="413" t="str">
        <f t="shared" si="4"/>
        <v/>
      </c>
      <c r="Y127" s="414"/>
      <c r="AC127" s="110"/>
    </row>
    <row r="128" spans="1:29" ht="20" customHeight="1">
      <c r="A128" s="398" t="str">
        <f>IFERROR(IF(ISBLANK(VLOOKUP(F128,'Aktuelle Einnahmen'!A98:G200,3,0)),"",VLOOKUP(F128,'Aktuelle Einnahmen'!A98:G200,3,0)),"")</f>
        <v/>
      </c>
      <c r="B128" s="399"/>
      <c r="C128" s="399"/>
      <c r="D128" s="399"/>
      <c r="E128" s="399"/>
      <c r="F128" s="417">
        <v>97</v>
      </c>
      <c r="G128" s="399"/>
      <c r="U128" s="110"/>
      <c r="V128" s="403"/>
      <c r="W128" s="403"/>
      <c r="X128" s="413" t="str">
        <f t="shared" si="4"/>
        <v/>
      </c>
      <c r="Y128" s="414"/>
      <c r="AC128" s="110"/>
    </row>
    <row r="129" spans="1:29" ht="20" customHeight="1">
      <c r="A129" s="398" t="str">
        <f>IFERROR(IF(ISBLANK(VLOOKUP(F129,'Aktuelle Einnahmen'!A99:G201,3,0)),"",VLOOKUP(F129,'Aktuelle Einnahmen'!A99:G201,3,0)),"")</f>
        <v/>
      </c>
      <c r="B129" s="399"/>
      <c r="C129" s="399"/>
      <c r="D129" s="399"/>
      <c r="E129" s="399"/>
      <c r="F129" s="417">
        <v>98</v>
      </c>
      <c r="G129" s="399"/>
      <c r="U129" s="110"/>
      <c r="V129" s="403"/>
      <c r="W129" s="403"/>
      <c r="X129" s="413" t="str">
        <f t="shared" si="4"/>
        <v/>
      </c>
      <c r="Y129" s="414"/>
      <c r="AC129" s="110"/>
    </row>
    <row r="130" spans="1:29" ht="20" customHeight="1">
      <c r="A130" s="398" t="str">
        <f>IFERROR(IF(ISBLANK(VLOOKUP(F130,'Aktuelle Einnahmen'!A100:G202,3,0)),"",VLOOKUP(F130,'Aktuelle Einnahmen'!A100:G202,3,0)),"")</f>
        <v/>
      </c>
      <c r="B130" s="399"/>
      <c r="C130" s="399"/>
      <c r="D130" s="399"/>
      <c r="E130" s="399"/>
      <c r="F130" s="417">
        <v>99</v>
      </c>
      <c r="G130" s="399"/>
      <c r="U130" s="110"/>
      <c r="V130" s="403"/>
      <c r="W130" s="403"/>
      <c r="X130" s="413" t="str">
        <f t="shared" si="4"/>
        <v/>
      </c>
      <c r="Y130" s="414"/>
      <c r="AC130" s="110"/>
    </row>
    <row r="131" spans="1:29" ht="20" customHeight="1">
      <c r="A131" s="397"/>
      <c r="B131" s="397"/>
      <c r="C131" s="397"/>
      <c r="D131" s="397"/>
      <c r="E131" s="397"/>
      <c r="F131" s="407"/>
      <c r="G131" s="397"/>
      <c r="W131" s="110"/>
      <c r="X131" s="399"/>
      <c r="Y131" s="399"/>
      <c r="AC131" s="110"/>
    </row>
    <row r="132" spans="1:29" ht="20" customHeight="1">
      <c r="A132" s="397"/>
      <c r="B132" s="397"/>
      <c r="C132" s="397"/>
      <c r="D132" s="397"/>
      <c r="E132" s="397"/>
      <c r="F132" s="397"/>
      <c r="G132" s="397"/>
      <c r="W132" s="110"/>
      <c r="X132" s="399"/>
      <c r="Y132" s="399"/>
      <c r="AC132" s="110"/>
    </row>
    <row r="133" spans="1:29" ht="20" customHeight="1">
      <c r="A133" s="399"/>
      <c r="B133" s="399"/>
      <c r="C133" s="399"/>
      <c r="D133" s="399"/>
      <c r="E133" s="399"/>
      <c r="F133" s="399"/>
      <c r="G133" s="399"/>
      <c r="AC133" s="110"/>
    </row>
    <row r="134" spans="1:29" ht="20" customHeight="1">
      <c r="A134" s="399"/>
      <c r="B134" s="399"/>
      <c r="C134" s="399"/>
      <c r="D134" s="399"/>
      <c r="E134" s="399"/>
      <c r="F134" s="399"/>
      <c r="G134" s="399"/>
      <c r="AC134" s="110"/>
    </row>
    <row r="135" spans="1:29" ht="20" customHeight="1">
      <c r="A135" s="399"/>
      <c r="B135" s="399"/>
      <c r="C135" s="399"/>
      <c r="D135" s="399"/>
      <c r="E135" s="399"/>
      <c r="F135" s="399"/>
      <c r="G135" s="399"/>
      <c r="AC135" s="110"/>
    </row>
    <row r="136" spans="1:29" ht="20" customHeight="1">
      <c r="A136" s="399"/>
      <c r="B136" s="399"/>
      <c r="C136" s="399"/>
      <c r="D136" s="399"/>
      <c r="E136" s="399"/>
      <c r="F136" s="399"/>
      <c r="G136" s="399"/>
      <c r="AC136" s="110"/>
    </row>
    <row r="137" spans="1:29" ht="20" customHeight="1">
      <c r="A137" s="399"/>
      <c r="B137" s="399"/>
      <c r="C137" s="399"/>
      <c r="D137" s="399"/>
      <c r="E137" s="399"/>
      <c r="F137" s="399"/>
      <c r="G137" s="399"/>
      <c r="AC137" s="110"/>
    </row>
    <row r="138" spans="1:29" ht="20" customHeight="1">
      <c r="AC138" s="110"/>
    </row>
    <row r="139" spans="1:29" ht="20" customHeight="1">
      <c r="AC139" s="110"/>
    </row>
    <row r="140" spans="1:29" ht="20" customHeight="1">
      <c r="AC140" s="110"/>
    </row>
    <row r="141" spans="1:29" ht="20" customHeight="1">
      <c r="AC141" s="110"/>
    </row>
    <row r="142" spans="1:29" ht="20" customHeight="1">
      <c r="AC142" s="110"/>
    </row>
    <row r="143" spans="1:29" ht="20" customHeight="1">
      <c r="AC143" s="110"/>
    </row>
    <row r="144" spans="1:29" ht="20" customHeight="1">
      <c r="AC144" s="110"/>
    </row>
    <row r="145" spans="29:29" ht="20" customHeight="1">
      <c r="AC145" s="110"/>
    </row>
    <row r="146" spans="29:29" ht="20" customHeight="1">
      <c r="AC146" s="110"/>
    </row>
    <row r="147" spans="29:29" ht="20" customHeight="1">
      <c r="AC147" s="110"/>
    </row>
    <row r="148" spans="29:29" ht="20" customHeight="1">
      <c r="AC148" s="110"/>
    </row>
    <row r="149" spans="29:29" ht="20" customHeight="1">
      <c r="AC149" s="110"/>
    </row>
    <row r="150" spans="29:29" ht="20" customHeight="1">
      <c r="AC150" s="110"/>
    </row>
    <row r="151" spans="29:29" ht="20" customHeight="1">
      <c r="AC151" s="110"/>
    </row>
    <row r="152" spans="29:29" ht="20" customHeight="1">
      <c r="AC152" s="110"/>
    </row>
    <row r="153" spans="29:29" ht="20" customHeight="1">
      <c r="AC153" s="110"/>
    </row>
    <row r="154" spans="29:29" ht="20" customHeight="1">
      <c r="AC154" s="110"/>
    </row>
    <row r="155" spans="29:29" ht="20" customHeight="1">
      <c r="AC155" s="110"/>
    </row>
    <row r="156" spans="29:29" ht="20" customHeight="1">
      <c r="AC156" s="110"/>
    </row>
    <row r="157" spans="29:29" ht="20" customHeight="1">
      <c r="AC157" s="110"/>
    </row>
    <row r="158" spans="29:29" ht="20" customHeight="1">
      <c r="AC158" s="110"/>
    </row>
    <row r="159" spans="29:29" ht="20" customHeight="1">
      <c r="AC159" s="110"/>
    </row>
    <row r="160" spans="29:29" ht="20" customHeight="1">
      <c r="AC160" s="110"/>
    </row>
    <row r="161" spans="29:29" ht="20" customHeight="1">
      <c r="AC161" s="110"/>
    </row>
    <row r="162" spans="29:29" ht="20" customHeight="1">
      <c r="AC162" s="110"/>
    </row>
    <row r="163" spans="29:29" ht="20" customHeight="1">
      <c r="AC163" s="110"/>
    </row>
    <row r="164" spans="29:29" ht="20" customHeight="1">
      <c r="AC164" s="110"/>
    </row>
    <row r="165" spans="29:29" ht="20" customHeight="1">
      <c r="AC165" s="110"/>
    </row>
    <row r="166" spans="29:29" ht="20" customHeight="1">
      <c r="AC166" s="110"/>
    </row>
    <row r="167" spans="29:29" ht="20" customHeight="1">
      <c r="AC167" s="110"/>
    </row>
    <row r="168" spans="29:29" ht="20" customHeight="1">
      <c r="AC168" s="110"/>
    </row>
    <row r="169" spans="29:29" ht="20" customHeight="1">
      <c r="AC169" s="110"/>
    </row>
    <row r="170" spans="29:29" ht="20" customHeight="1">
      <c r="AC170" s="110"/>
    </row>
    <row r="171" spans="29:29" ht="20" customHeight="1">
      <c r="AC171" s="110"/>
    </row>
    <row r="172" spans="29:29" ht="20" customHeight="1">
      <c r="AC172" s="110"/>
    </row>
    <row r="173" spans="29:29" ht="20" customHeight="1">
      <c r="AC173" s="110"/>
    </row>
    <row r="174" spans="29:29" ht="20" customHeight="1">
      <c r="AC174" s="110"/>
    </row>
    <row r="175" spans="29:29" ht="20" customHeight="1">
      <c r="AC175" s="110"/>
    </row>
    <row r="176" spans="29:29" ht="20" customHeight="1">
      <c r="AC176" s="110"/>
    </row>
    <row r="177" spans="29:29" ht="20" customHeight="1">
      <c r="AC177" s="110"/>
    </row>
    <row r="178" spans="29:29" ht="20" customHeight="1">
      <c r="AC178" s="110"/>
    </row>
    <row r="179" spans="29:29" ht="20" customHeight="1">
      <c r="AC179" s="110"/>
    </row>
    <row r="180" spans="29:29" ht="20" customHeight="1">
      <c r="AC180" s="110"/>
    </row>
    <row r="181" spans="29:29" ht="20" customHeight="1">
      <c r="AC181" s="110"/>
    </row>
    <row r="182" spans="29:29" ht="20" customHeight="1">
      <c r="AC182" s="110"/>
    </row>
    <row r="183" spans="29:29" ht="20" customHeight="1">
      <c r="AC183" s="110"/>
    </row>
    <row r="184" spans="29:29" ht="20" customHeight="1">
      <c r="AC184" s="110"/>
    </row>
    <row r="185" spans="29:29" ht="20" customHeight="1">
      <c r="AC185" s="110"/>
    </row>
    <row r="186" spans="29:29" ht="20" customHeight="1">
      <c r="AC186" s="110"/>
    </row>
    <row r="187" spans="29:29" ht="20" customHeight="1">
      <c r="AC187" s="110"/>
    </row>
    <row r="188" spans="29:29" ht="20" customHeight="1">
      <c r="AC188" s="110"/>
    </row>
    <row r="189" spans="29:29" ht="20" customHeight="1">
      <c r="AC189" s="110"/>
    </row>
    <row r="190" spans="29:29" ht="20" customHeight="1">
      <c r="AC190" s="110"/>
    </row>
    <row r="191" spans="29:29" ht="20" customHeight="1">
      <c r="AC191" s="110"/>
    </row>
    <row r="192" spans="29:29" ht="20" customHeight="1">
      <c r="AC192" s="110"/>
    </row>
    <row r="193" spans="29:29" ht="20" customHeight="1">
      <c r="AC193" s="110"/>
    </row>
    <row r="194" spans="29:29" ht="20" customHeight="1">
      <c r="AC194" s="110"/>
    </row>
    <row r="195" spans="29:29" ht="20" customHeight="1">
      <c r="AC195" s="110"/>
    </row>
    <row r="196" spans="29:29" ht="20" customHeight="1">
      <c r="AC196" s="110"/>
    </row>
    <row r="197" spans="29:29" ht="20" customHeight="1">
      <c r="AC197" s="110"/>
    </row>
    <row r="198" spans="29:29" ht="20" customHeight="1">
      <c r="AC198" s="110"/>
    </row>
    <row r="199" spans="29:29" ht="20" customHeight="1">
      <c r="AC199" s="110"/>
    </row>
    <row r="200" spans="29:29" ht="20" customHeight="1">
      <c r="AC200" s="110"/>
    </row>
    <row r="201" spans="29:29" ht="20" customHeight="1">
      <c r="AC201" s="110"/>
    </row>
    <row r="202" spans="29:29" ht="20" customHeight="1">
      <c r="AC202" s="110"/>
    </row>
    <row r="203" spans="29:29" ht="20" customHeight="1">
      <c r="AC203" s="110"/>
    </row>
    <row r="204" spans="29:29" ht="20" customHeight="1">
      <c r="AC204" s="110"/>
    </row>
    <row r="205" spans="29:29" ht="20" customHeight="1">
      <c r="AC205" s="110"/>
    </row>
    <row r="206" spans="29:29" ht="20" customHeight="1">
      <c r="AC206" s="110"/>
    </row>
    <row r="207" spans="29:29" ht="20" customHeight="1">
      <c r="AC207" s="110"/>
    </row>
    <row r="208" spans="29:29" ht="20" customHeight="1">
      <c r="AC208" s="110"/>
    </row>
    <row r="209" spans="29:29" ht="20" customHeight="1">
      <c r="AC209" s="110"/>
    </row>
    <row r="210" spans="29:29" ht="20" customHeight="1">
      <c r="AC210" s="110"/>
    </row>
    <row r="211" spans="29:29" ht="20" customHeight="1">
      <c r="AC211" s="110"/>
    </row>
    <row r="212" spans="29:29" ht="20" customHeight="1">
      <c r="AC212" s="110"/>
    </row>
    <row r="213" spans="29:29" ht="20" customHeight="1">
      <c r="AC213" s="110"/>
    </row>
    <row r="214" spans="29:29" ht="20" customHeight="1">
      <c r="AC214" s="110"/>
    </row>
    <row r="215" spans="29:29" ht="20" customHeight="1">
      <c r="AC215" s="110"/>
    </row>
    <row r="216" spans="29:29" ht="20" customHeight="1">
      <c r="AC216" s="110"/>
    </row>
    <row r="217" spans="29:29" ht="20" customHeight="1">
      <c r="AC217" s="110"/>
    </row>
    <row r="218" spans="29:29" ht="20" customHeight="1">
      <c r="AC218" s="110"/>
    </row>
    <row r="219" spans="29:29" ht="20" customHeight="1">
      <c r="AC219" s="110"/>
    </row>
    <row r="220" spans="29:29" ht="20" customHeight="1">
      <c r="AC220" s="110"/>
    </row>
    <row r="221" spans="29:29" ht="20" customHeight="1">
      <c r="AC221" s="110"/>
    </row>
    <row r="222" spans="29:29" ht="20" customHeight="1">
      <c r="AC222" s="110"/>
    </row>
    <row r="223" spans="29:29" ht="20" customHeight="1">
      <c r="AC223" s="110"/>
    </row>
    <row r="224" spans="29:29" ht="20" customHeight="1">
      <c r="AC224" s="110"/>
    </row>
    <row r="225" spans="29:29" ht="20" customHeight="1">
      <c r="AC225" s="110"/>
    </row>
    <row r="226" spans="29:29" ht="20" customHeight="1">
      <c r="AC226" s="110"/>
    </row>
    <row r="227" spans="29:29" ht="20" customHeight="1">
      <c r="AC227" s="110"/>
    </row>
    <row r="228" spans="29:29" ht="20" customHeight="1">
      <c r="AC228" s="110"/>
    </row>
    <row r="229" spans="29:29" ht="20" customHeight="1">
      <c r="AC229" s="110"/>
    </row>
    <row r="230" spans="29:29" ht="20" customHeight="1">
      <c r="AC230" s="110"/>
    </row>
    <row r="231" spans="29:29" ht="20" customHeight="1">
      <c r="AC231" s="110"/>
    </row>
    <row r="232" spans="29:29" ht="20" customHeight="1">
      <c r="AC232" s="110"/>
    </row>
    <row r="233" spans="29:29" ht="20" customHeight="1">
      <c r="AC233" s="110"/>
    </row>
    <row r="234" spans="29:29" ht="20" customHeight="1">
      <c r="AC234" s="110"/>
    </row>
    <row r="235" spans="29:29" ht="20" customHeight="1">
      <c r="AC235" s="110"/>
    </row>
    <row r="236" spans="29:29" ht="20" customHeight="1">
      <c r="AC236" s="110"/>
    </row>
    <row r="237" spans="29:29" ht="20" customHeight="1">
      <c r="AC237" s="110"/>
    </row>
    <row r="238" spans="29:29" ht="20" customHeight="1">
      <c r="AC238" s="110"/>
    </row>
    <row r="239" spans="29:29" ht="20" customHeight="1">
      <c r="AC239" s="110"/>
    </row>
    <row r="240" spans="29:29" ht="20" customHeight="1">
      <c r="AC240" s="110"/>
    </row>
    <row r="241" spans="29:29" ht="20" customHeight="1">
      <c r="AC241" s="110"/>
    </row>
    <row r="242" spans="29:29" ht="20" customHeight="1">
      <c r="AC242" s="110"/>
    </row>
    <row r="243" spans="29:29" ht="20" customHeight="1">
      <c r="AC243" s="110"/>
    </row>
    <row r="244" spans="29:29" ht="20" customHeight="1">
      <c r="AC244" s="110"/>
    </row>
    <row r="245" spans="29:29" ht="20" customHeight="1">
      <c r="AC245" s="110"/>
    </row>
    <row r="246" spans="29:29" ht="20" customHeight="1">
      <c r="AC246" s="110"/>
    </row>
    <row r="247" spans="29:29" ht="20" customHeight="1">
      <c r="AC247" s="110"/>
    </row>
    <row r="248" spans="29:29" ht="20" customHeight="1">
      <c r="AC248" s="110"/>
    </row>
    <row r="249" spans="29:29" ht="20" customHeight="1">
      <c r="AC249" s="110"/>
    </row>
    <row r="250" spans="29:29" ht="20" customHeight="1">
      <c r="AC250" s="110"/>
    </row>
    <row r="251" spans="29:29" ht="20" customHeight="1">
      <c r="AC251" s="110"/>
    </row>
    <row r="252" spans="29:29" ht="20" customHeight="1">
      <c r="AC252" s="110"/>
    </row>
    <row r="253" spans="29:29" ht="20" customHeight="1">
      <c r="AC253" s="110"/>
    </row>
    <row r="254" spans="29:29" ht="20" customHeight="1">
      <c r="AC254" s="110"/>
    </row>
    <row r="255" spans="29:29" ht="20" customHeight="1">
      <c r="AC255" s="110"/>
    </row>
    <row r="256" spans="29:29" ht="20" customHeight="1">
      <c r="AC256" s="110"/>
    </row>
    <row r="257" spans="29:29" ht="20" customHeight="1">
      <c r="AC257" s="110"/>
    </row>
    <row r="258" spans="29:29" ht="20" customHeight="1">
      <c r="AC258" s="110"/>
    </row>
    <row r="259" spans="29:29" ht="20" customHeight="1">
      <c r="AC259" s="110"/>
    </row>
    <row r="260" spans="29:29" ht="20" customHeight="1">
      <c r="AC260" s="110"/>
    </row>
    <row r="261" spans="29:29" ht="20" customHeight="1">
      <c r="AC261" s="110"/>
    </row>
    <row r="262" spans="29:29" ht="20" customHeight="1">
      <c r="AC262" s="110"/>
    </row>
    <row r="263" spans="29:29" ht="20" customHeight="1">
      <c r="AC263" s="110"/>
    </row>
    <row r="264" spans="29:29" ht="20" customHeight="1">
      <c r="AC264" s="110"/>
    </row>
    <row r="265" spans="29:29" ht="20" customHeight="1">
      <c r="AC265" s="110"/>
    </row>
    <row r="266" spans="29:29" ht="20" customHeight="1">
      <c r="AC266" s="110"/>
    </row>
    <row r="267" spans="29:29" ht="20" customHeight="1">
      <c r="AC267" s="110"/>
    </row>
    <row r="268" spans="29:29" ht="20" customHeight="1">
      <c r="AC268" s="110"/>
    </row>
    <row r="269" spans="29:29" ht="20" customHeight="1">
      <c r="AC269" s="110"/>
    </row>
    <row r="270" spans="29:29" ht="20" customHeight="1">
      <c r="AC270" s="110"/>
    </row>
    <row r="271" spans="29:29" ht="20" customHeight="1">
      <c r="AC271" s="110"/>
    </row>
    <row r="272" spans="29:29" ht="20" customHeight="1">
      <c r="AC272" s="110"/>
    </row>
    <row r="273" spans="29:29" ht="20" customHeight="1">
      <c r="AC273" s="110"/>
    </row>
    <row r="274" spans="29:29" ht="20" customHeight="1">
      <c r="AC274" s="110"/>
    </row>
    <row r="275" spans="29:29" ht="20" customHeight="1">
      <c r="AC275" s="110"/>
    </row>
    <row r="276" spans="29:29" ht="20" customHeight="1">
      <c r="AC276" s="110"/>
    </row>
    <row r="277" spans="29:29" ht="20" customHeight="1">
      <c r="AC277" s="110"/>
    </row>
    <row r="278" spans="29:29" ht="20" customHeight="1">
      <c r="AC278" s="110"/>
    </row>
    <row r="279" spans="29:29" ht="20" customHeight="1">
      <c r="AC279" s="110"/>
    </row>
    <row r="280" spans="29:29" ht="20" customHeight="1">
      <c r="AC280" s="110"/>
    </row>
    <row r="281" spans="29:29" ht="20" customHeight="1">
      <c r="AC281" s="110"/>
    </row>
    <row r="282" spans="29:29" ht="20" customHeight="1">
      <c r="AC282" s="110"/>
    </row>
    <row r="283" spans="29:29" ht="20" customHeight="1">
      <c r="AC283" s="110"/>
    </row>
    <row r="284" spans="29:29" ht="20" customHeight="1">
      <c r="AC284" s="110"/>
    </row>
    <row r="285" spans="29:29" ht="20" customHeight="1">
      <c r="AC285" s="110"/>
    </row>
    <row r="286" spans="29:29" ht="20" customHeight="1">
      <c r="AC286" s="110"/>
    </row>
    <row r="287" spans="29:29" ht="20" customHeight="1">
      <c r="AC287" s="110"/>
    </row>
    <row r="288" spans="29:29" ht="20" customHeight="1">
      <c r="AC288" s="110"/>
    </row>
    <row r="289" spans="29:29" ht="20" customHeight="1">
      <c r="AC289" s="110"/>
    </row>
    <row r="290" spans="29:29" ht="20" customHeight="1">
      <c r="AC290" s="110"/>
    </row>
    <row r="291" spans="29:29" ht="20" customHeight="1">
      <c r="AC291" s="110"/>
    </row>
    <row r="292" spans="29:29" ht="20" customHeight="1">
      <c r="AC292" s="110"/>
    </row>
    <row r="293" spans="29:29" ht="20" customHeight="1">
      <c r="AC293" s="110"/>
    </row>
    <row r="294" spans="29:29" ht="20" customHeight="1">
      <c r="AC294" s="110"/>
    </row>
    <row r="295" spans="29:29" ht="20" customHeight="1">
      <c r="AC295" s="110"/>
    </row>
    <row r="296" spans="29:29" ht="20" customHeight="1">
      <c r="AC296" s="110"/>
    </row>
    <row r="297" spans="29:29" ht="20" customHeight="1">
      <c r="AC297" s="110"/>
    </row>
    <row r="298" spans="29:29" ht="20" customHeight="1">
      <c r="AC298" s="110"/>
    </row>
    <row r="299" spans="29:29" ht="20" customHeight="1">
      <c r="AC299" s="110"/>
    </row>
    <row r="300" spans="29:29" ht="20" customHeight="1">
      <c r="AC300" s="110"/>
    </row>
    <row r="301" spans="29:29" ht="20" customHeight="1">
      <c r="AC301" s="110"/>
    </row>
    <row r="302" spans="29:29" ht="20" customHeight="1">
      <c r="AC302" s="110"/>
    </row>
    <row r="303" spans="29:29" ht="20" customHeight="1">
      <c r="AC303" s="110"/>
    </row>
    <row r="304" spans="29:29" ht="20" customHeight="1">
      <c r="AC304" s="110"/>
    </row>
    <row r="305" spans="29:29" ht="20" customHeight="1">
      <c r="AC305" s="110"/>
    </row>
    <row r="306" spans="29:29" ht="20" customHeight="1">
      <c r="AC306" s="110"/>
    </row>
    <row r="307" spans="29:29" ht="20" customHeight="1">
      <c r="AC307" s="110"/>
    </row>
    <row r="308" spans="29:29" ht="20" customHeight="1">
      <c r="AC308" s="110"/>
    </row>
    <row r="309" spans="29:29" ht="20" customHeight="1">
      <c r="AC309" s="110"/>
    </row>
    <row r="310" spans="29:29" ht="20" customHeight="1">
      <c r="AC310" s="110"/>
    </row>
    <row r="311" spans="29:29" ht="20" customHeight="1">
      <c r="AC311" s="110"/>
    </row>
    <row r="312" spans="29:29" ht="20" customHeight="1">
      <c r="AC312" s="110"/>
    </row>
    <row r="313" spans="29:29" ht="20" customHeight="1">
      <c r="AC313" s="110"/>
    </row>
    <row r="314" spans="29:29" ht="20" customHeight="1">
      <c r="AC314" s="110"/>
    </row>
    <row r="315" spans="29:29" ht="20" customHeight="1">
      <c r="AC315" s="110"/>
    </row>
    <row r="316" spans="29:29" ht="20" customHeight="1">
      <c r="AC316" s="110"/>
    </row>
    <row r="317" spans="29:29" ht="20" customHeight="1">
      <c r="AC317" s="110"/>
    </row>
    <row r="318" spans="29:29" ht="20" customHeight="1">
      <c r="AC318" s="110"/>
    </row>
    <row r="319" spans="29:29" ht="20" customHeight="1">
      <c r="AC319" s="110"/>
    </row>
    <row r="320" spans="29:29" ht="20" customHeight="1">
      <c r="AC320" s="110"/>
    </row>
    <row r="321" spans="29:29" ht="20" customHeight="1">
      <c r="AC321" s="110"/>
    </row>
    <row r="322" spans="29:29" ht="20" customHeight="1">
      <c r="AC322" s="110"/>
    </row>
    <row r="323" spans="29:29" ht="20" customHeight="1">
      <c r="AC323" s="110"/>
    </row>
    <row r="324" spans="29:29" ht="20" customHeight="1">
      <c r="AC324" s="110"/>
    </row>
    <row r="325" spans="29:29" ht="20" customHeight="1">
      <c r="AC325" s="110"/>
    </row>
    <row r="326" spans="29:29" ht="20" customHeight="1">
      <c r="AC326" s="110"/>
    </row>
    <row r="327" spans="29:29" ht="20" customHeight="1">
      <c r="AC327" s="110"/>
    </row>
    <row r="328" spans="29:29" ht="20" customHeight="1">
      <c r="AC328" s="110"/>
    </row>
    <row r="329" spans="29:29" ht="20" customHeight="1">
      <c r="AC329" s="110"/>
    </row>
    <row r="330" spans="29:29" ht="20" customHeight="1">
      <c r="AC330" s="110"/>
    </row>
    <row r="331" spans="29:29" ht="20" customHeight="1">
      <c r="AC331" s="110"/>
    </row>
    <row r="332" spans="29:29" ht="20" customHeight="1">
      <c r="AC332" s="110"/>
    </row>
    <row r="333" spans="29:29" ht="20" customHeight="1">
      <c r="AC333" s="110"/>
    </row>
    <row r="334" spans="29:29" ht="20" customHeight="1">
      <c r="AC334" s="110"/>
    </row>
    <row r="335" spans="29:29" ht="20" customHeight="1">
      <c r="AC335" s="110"/>
    </row>
    <row r="336" spans="29:29" ht="20" customHeight="1">
      <c r="AC336" s="110"/>
    </row>
    <row r="337" spans="29:29" ht="20" customHeight="1">
      <c r="AC337" s="110"/>
    </row>
    <row r="338" spans="29:29" ht="20" customHeight="1">
      <c r="AC338" s="110"/>
    </row>
    <row r="339" spans="29:29" ht="20" customHeight="1">
      <c r="AC339" s="110"/>
    </row>
    <row r="340" spans="29:29" ht="20" customHeight="1">
      <c r="AC340" s="110"/>
    </row>
    <row r="341" spans="29:29" ht="20" customHeight="1">
      <c r="AC341" s="110"/>
    </row>
    <row r="342" spans="29:29" ht="20" customHeight="1">
      <c r="AC342" s="110"/>
    </row>
    <row r="343" spans="29:29" ht="20" customHeight="1">
      <c r="AC343" s="110"/>
    </row>
    <row r="344" spans="29:29" ht="20" customHeight="1">
      <c r="AC344" s="110"/>
    </row>
    <row r="345" spans="29:29" ht="20" customHeight="1">
      <c r="AC345" s="110"/>
    </row>
    <row r="346" spans="29:29" ht="20" customHeight="1">
      <c r="AC346" s="110"/>
    </row>
    <row r="347" spans="29:29" ht="20" customHeight="1">
      <c r="AC347" s="110"/>
    </row>
    <row r="348" spans="29:29" ht="20" customHeight="1">
      <c r="AC348" s="110"/>
    </row>
    <row r="349" spans="29:29" ht="20" customHeight="1">
      <c r="AC349" s="110"/>
    </row>
    <row r="350" spans="29:29" ht="20" customHeight="1">
      <c r="AC350" s="110"/>
    </row>
    <row r="351" spans="29:29" ht="20" customHeight="1">
      <c r="AC351" s="110"/>
    </row>
    <row r="352" spans="29:29" ht="20" customHeight="1">
      <c r="AC352" s="110"/>
    </row>
    <row r="353" spans="29:29" ht="20" customHeight="1">
      <c r="AC353" s="110"/>
    </row>
    <row r="354" spans="29:29" ht="20" customHeight="1">
      <c r="AC354" s="110"/>
    </row>
    <row r="355" spans="29:29" ht="20" customHeight="1">
      <c r="AC355" s="110"/>
    </row>
    <row r="356" spans="29:29" ht="20" customHeight="1">
      <c r="AC356" s="110"/>
    </row>
    <row r="357" spans="29:29" ht="20" customHeight="1">
      <c r="AC357" s="110"/>
    </row>
    <row r="358" spans="29:29" ht="20" customHeight="1">
      <c r="AC358" s="110"/>
    </row>
    <row r="359" spans="29:29" ht="20" customHeight="1">
      <c r="AC359" s="110"/>
    </row>
    <row r="360" spans="29:29" ht="20" customHeight="1">
      <c r="AC360" s="110"/>
    </row>
    <row r="361" spans="29:29" ht="20" customHeight="1">
      <c r="AC361" s="110"/>
    </row>
    <row r="362" spans="29:29" ht="20" customHeight="1">
      <c r="AC362" s="110"/>
    </row>
    <row r="363" spans="29:29" ht="20" customHeight="1">
      <c r="AC363" s="110"/>
    </row>
    <row r="364" spans="29:29" ht="20" customHeight="1">
      <c r="AC364" s="110"/>
    </row>
    <row r="365" spans="29:29" ht="20" customHeight="1">
      <c r="AC365" s="110"/>
    </row>
    <row r="366" spans="29:29" ht="20" customHeight="1">
      <c r="AC366" s="110"/>
    </row>
    <row r="367" spans="29:29" ht="20" customHeight="1">
      <c r="AC367" s="110"/>
    </row>
    <row r="368" spans="29:29" ht="20" customHeight="1">
      <c r="AC368" s="110"/>
    </row>
    <row r="369" spans="29:29" ht="20" customHeight="1">
      <c r="AC369" s="110"/>
    </row>
    <row r="370" spans="29:29" ht="20" customHeight="1">
      <c r="AC370" s="110"/>
    </row>
    <row r="371" spans="29:29" ht="20" customHeight="1">
      <c r="AC371" s="110"/>
    </row>
    <row r="372" spans="29:29" ht="20" customHeight="1">
      <c r="AC372" s="110"/>
    </row>
    <row r="373" spans="29:29" ht="20" customHeight="1">
      <c r="AC373" s="110"/>
    </row>
    <row r="374" spans="29:29" ht="20" customHeight="1">
      <c r="AC374" s="110"/>
    </row>
    <row r="375" spans="29:29" ht="20" customHeight="1">
      <c r="AC375" s="110"/>
    </row>
    <row r="376" spans="29:29" ht="20" customHeight="1">
      <c r="AC376" s="110"/>
    </row>
    <row r="377" spans="29:29" ht="20" customHeight="1">
      <c r="AC377" s="110"/>
    </row>
    <row r="378" spans="29:29" ht="20" customHeight="1">
      <c r="AC378" s="110"/>
    </row>
    <row r="379" spans="29:29" ht="20" customHeight="1">
      <c r="AC379" s="110"/>
    </row>
    <row r="380" spans="29:29" ht="20" customHeight="1">
      <c r="AC380" s="110"/>
    </row>
    <row r="381" spans="29:29" ht="20" customHeight="1">
      <c r="AC381" s="110"/>
    </row>
    <row r="382" spans="29:29" ht="20" customHeight="1">
      <c r="AC382" s="110"/>
    </row>
    <row r="383" spans="29:29" ht="20" customHeight="1">
      <c r="AC383" s="110"/>
    </row>
    <row r="384" spans="29:29" ht="20" customHeight="1">
      <c r="AC384" s="110"/>
    </row>
    <row r="385" spans="29:29" ht="20" customHeight="1">
      <c r="AC385" s="110"/>
    </row>
    <row r="386" spans="29:29" ht="20" customHeight="1">
      <c r="AC386" s="110"/>
    </row>
    <row r="387" spans="29:29" ht="20" customHeight="1">
      <c r="AC387" s="110"/>
    </row>
    <row r="388" spans="29:29" ht="20" customHeight="1">
      <c r="AC388" s="110"/>
    </row>
    <row r="389" spans="29:29" ht="20" customHeight="1">
      <c r="AC389" s="110"/>
    </row>
    <row r="390" spans="29:29" ht="20" customHeight="1">
      <c r="AC390" s="110"/>
    </row>
    <row r="391" spans="29:29" ht="20" customHeight="1">
      <c r="AC391" s="110"/>
    </row>
    <row r="392" spans="29:29" ht="20" customHeight="1">
      <c r="AC392" s="110"/>
    </row>
    <row r="393" spans="29:29" ht="20" customHeight="1">
      <c r="AC393" s="110"/>
    </row>
    <row r="394" spans="29:29" ht="20" customHeight="1">
      <c r="AC394" s="110"/>
    </row>
    <row r="395" spans="29:29" ht="20" customHeight="1">
      <c r="AC395" s="110"/>
    </row>
    <row r="396" spans="29:29" ht="20" customHeight="1">
      <c r="AC396" s="110"/>
    </row>
    <row r="397" spans="29:29" ht="20" customHeight="1">
      <c r="AC397" s="110"/>
    </row>
    <row r="398" spans="29:29" ht="20" customHeight="1">
      <c r="AC398" s="110"/>
    </row>
    <row r="399" spans="29:29" ht="20" customHeight="1">
      <c r="AC399" s="110"/>
    </row>
    <row r="400" spans="29:29" ht="20" customHeight="1">
      <c r="AC400" s="110"/>
    </row>
    <row r="401" spans="29:29" ht="20" customHeight="1">
      <c r="AC401" s="110"/>
    </row>
    <row r="402" spans="29:29" ht="20" customHeight="1">
      <c r="AC402" s="110"/>
    </row>
    <row r="403" spans="29:29" ht="20" customHeight="1">
      <c r="AC403" s="110"/>
    </row>
    <row r="404" spans="29:29" ht="20" customHeight="1">
      <c r="AC404" s="110"/>
    </row>
    <row r="405" spans="29:29" ht="20" customHeight="1">
      <c r="AC405" s="110"/>
    </row>
    <row r="406" spans="29:29" ht="20" customHeight="1">
      <c r="AC406" s="110"/>
    </row>
    <row r="407" spans="29:29" ht="20" customHeight="1">
      <c r="AC407" s="110"/>
    </row>
    <row r="408" spans="29:29" ht="20" customHeight="1">
      <c r="AC408" s="110"/>
    </row>
    <row r="409" spans="29:29" ht="20" customHeight="1">
      <c r="AC409" s="110"/>
    </row>
    <row r="410" spans="29:29" ht="20" customHeight="1">
      <c r="AC410" s="110"/>
    </row>
    <row r="411" spans="29:29" ht="20" customHeight="1">
      <c r="AC411" s="110"/>
    </row>
    <row r="412" spans="29:29" ht="20" customHeight="1">
      <c r="AC412" s="110"/>
    </row>
    <row r="413" spans="29:29" ht="20" customHeight="1">
      <c r="AC413" s="110"/>
    </row>
    <row r="414" spans="29:29" ht="20" customHeight="1">
      <c r="AC414" s="110"/>
    </row>
    <row r="415" spans="29:29" ht="20" customHeight="1">
      <c r="AC415" s="110"/>
    </row>
    <row r="416" spans="29:29" ht="20" customHeight="1">
      <c r="AC416" s="110"/>
    </row>
    <row r="417" spans="29:29" ht="20" customHeight="1">
      <c r="AC417" s="110"/>
    </row>
    <row r="418" spans="29:29" ht="20" customHeight="1">
      <c r="AC418" s="110"/>
    </row>
    <row r="419" spans="29:29" ht="20" customHeight="1">
      <c r="AC419" s="110"/>
    </row>
    <row r="420" spans="29:29" ht="20" customHeight="1">
      <c r="AC420" s="110"/>
    </row>
    <row r="421" spans="29:29" ht="20" customHeight="1">
      <c r="AC421" s="110"/>
    </row>
    <row r="422" spans="29:29" ht="20" customHeight="1">
      <c r="AC422" s="110"/>
    </row>
    <row r="423" spans="29:29" ht="20" customHeight="1">
      <c r="AC423" s="110"/>
    </row>
    <row r="424" spans="29:29" ht="20" customHeight="1">
      <c r="AC424" s="110"/>
    </row>
    <row r="425" spans="29:29" ht="20" customHeight="1">
      <c r="AC425" s="110"/>
    </row>
    <row r="426" spans="29:29" ht="20" customHeight="1">
      <c r="AC426" s="110"/>
    </row>
    <row r="427" spans="29:29" ht="20" customHeight="1">
      <c r="AC427" s="110"/>
    </row>
    <row r="428" spans="29:29" ht="20" customHeight="1">
      <c r="AC428" s="110"/>
    </row>
    <row r="429" spans="29:29" ht="20" customHeight="1">
      <c r="AC429" s="110"/>
    </row>
    <row r="430" spans="29:29" ht="20" customHeight="1">
      <c r="AC430" s="110"/>
    </row>
    <row r="431" spans="29:29" ht="20" customHeight="1">
      <c r="AC431" s="110"/>
    </row>
    <row r="432" spans="29:29" ht="20" customHeight="1">
      <c r="AC432" s="110"/>
    </row>
    <row r="433" spans="29:29" ht="20" customHeight="1">
      <c r="AC433" s="110"/>
    </row>
    <row r="434" spans="29:29" ht="20" customHeight="1">
      <c r="AC434" s="110"/>
    </row>
    <row r="435" spans="29:29" ht="20" customHeight="1">
      <c r="AC435" s="110"/>
    </row>
    <row r="436" spans="29:29" ht="20" customHeight="1">
      <c r="AC436" s="110"/>
    </row>
    <row r="437" spans="29:29" ht="20" customHeight="1">
      <c r="AC437" s="110"/>
    </row>
    <row r="438" spans="29:29" ht="20" customHeight="1">
      <c r="AC438" s="110"/>
    </row>
    <row r="439" spans="29:29" ht="20" customHeight="1">
      <c r="AC439" s="110"/>
    </row>
    <row r="440" spans="29:29" ht="20" customHeight="1">
      <c r="AC440" s="110"/>
    </row>
    <row r="441" spans="29:29" ht="20" customHeight="1">
      <c r="AC441" s="110"/>
    </row>
    <row r="442" spans="29:29" ht="20" customHeight="1">
      <c r="AC442" s="110"/>
    </row>
    <row r="443" spans="29:29" ht="20" customHeight="1">
      <c r="AC443" s="110"/>
    </row>
    <row r="444" spans="29:29" ht="20" customHeight="1">
      <c r="AC444" s="110"/>
    </row>
    <row r="445" spans="29:29" ht="20" customHeight="1">
      <c r="AC445" s="110"/>
    </row>
    <row r="446" spans="29:29" ht="20" customHeight="1">
      <c r="AC446" s="110"/>
    </row>
    <row r="447" spans="29:29" ht="20" customHeight="1">
      <c r="AC447" s="110"/>
    </row>
    <row r="448" spans="29:29" ht="20" customHeight="1">
      <c r="AC448" s="110"/>
    </row>
    <row r="449" spans="29:29" ht="20" customHeight="1">
      <c r="AC449" s="110"/>
    </row>
    <row r="450" spans="29:29" ht="20" customHeight="1">
      <c r="AC450" s="110"/>
    </row>
    <row r="451" spans="29:29" ht="20" customHeight="1">
      <c r="AC451" s="110"/>
    </row>
    <row r="452" spans="29:29" ht="20" customHeight="1">
      <c r="AC452" s="110"/>
    </row>
    <row r="453" spans="29:29" ht="20" customHeight="1">
      <c r="AC453" s="110"/>
    </row>
    <row r="454" spans="29:29" ht="20" customHeight="1">
      <c r="AC454" s="110"/>
    </row>
    <row r="455" spans="29:29" ht="20" customHeight="1">
      <c r="AC455" s="110"/>
    </row>
    <row r="456" spans="29:29" ht="20" customHeight="1">
      <c r="AC456" s="110"/>
    </row>
    <row r="457" spans="29:29" ht="20" customHeight="1">
      <c r="AC457" s="110"/>
    </row>
    <row r="458" spans="29:29" ht="20" customHeight="1">
      <c r="AC458" s="110"/>
    </row>
    <row r="459" spans="29:29" ht="20" customHeight="1">
      <c r="AC459" s="110"/>
    </row>
    <row r="460" spans="29:29" ht="20" customHeight="1">
      <c r="AC460" s="110"/>
    </row>
    <row r="461" spans="29:29" ht="20" customHeight="1">
      <c r="AC461" s="110"/>
    </row>
    <row r="462" spans="29:29" ht="20" customHeight="1">
      <c r="AC462" s="110"/>
    </row>
    <row r="463" spans="29:29" ht="20" customHeight="1">
      <c r="AC463" s="110"/>
    </row>
    <row r="464" spans="29:29" ht="20" customHeight="1">
      <c r="AC464" s="110"/>
    </row>
    <row r="465" spans="29:29" ht="20" customHeight="1">
      <c r="AC465" s="110"/>
    </row>
    <row r="466" spans="29:29" ht="20" customHeight="1">
      <c r="AC466" s="110"/>
    </row>
    <row r="467" spans="29:29" ht="20" customHeight="1">
      <c r="AC467" s="110"/>
    </row>
    <row r="468" spans="29:29" ht="20" customHeight="1">
      <c r="AC468" s="110"/>
    </row>
    <row r="469" spans="29:29" ht="20" customHeight="1">
      <c r="AC469" s="110"/>
    </row>
    <row r="470" spans="29:29" ht="20" customHeight="1">
      <c r="AC470" s="110"/>
    </row>
    <row r="471" spans="29:29" ht="20" customHeight="1">
      <c r="AC471" s="110"/>
    </row>
    <row r="472" spans="29:29" ht="20" customHeight="1">
      <c r="AC472" s="110"/>
    </row>
    <row r="473" spans="29:29" ht="20" customHeight="1">
      <c r="AC473" s="110"/>
    </row>
    <row r="474" spans="29:29" ht="20" customHeight="1">
      <c r="AC474" s="110"/>
    </row>
    <row r="475" spans="29:29" ht="20" customHeight="1">
      <c r="AC475" s="110"/>
    </row>
    <row r="476" spans="29:29" ht="20" customHeight="1">
      <c r="AC476" s="110"/>
    </row>
    <row r="477" spans="29:29" ht="20" customHeight="1">
      <c r="AC477" s="110"/>
    </row>
    <row r="478" spans="29:29" ht="20" customHeight="1">
      <c r="AC478" s="110"/>
    </row>
    <row r="479" spans="29:29" ht="20" customHeight="1">
      <c r="AC479" s="110"/>
    </row>
    <row r="480" spans="29:29" ht="20" customHeight="1">
      <c r="AC480" s="110"/>
    </row>
    <row r="481" spans="29:29" ht="20" customHeight="1">
      <c r="AC481" s="110"/>
    </row>
    <row r="482" spans="29:29" ht="20" customHeight="1">
      <c r="AC482" s="110"/>
    </row>
    <row r="483" spans="29:29" ht="20" customHeight="1">
      <c r="AC483" s="110"/>
    </row>
    <row r="484" spans="29:29" ht="20" customHeight="1">
      <c r="AC484" s="110"/>
    </row>
    <row r="485" spans="29:29" ht="20" customHeight="1">
      <c r="AC485" s="110"/>
    </row>
    <row r="486" spans="29:29" ht="20" customHeight="1">
      <c r="AC486" s="110"/>
    </row>
    <row r="487" spans="29:29" ht="20" customHeight="1">
      <c r="AC487" s="110"/>
    </row>
    <row r="488" spans="29:29" ht="20" customHeight="1">
      <c r="AC488" s="110"/>
    </row>
    <row r="489" spans="29:29" ht="20" customHeight="1">
      <c r="AC489" s="110"/>
    </row>
  </sheetData>
  <sheetProtection algorithmName="SHA-512" hashValue="0Ry33z0tHf+2YY27hhLntRWZkTLBYUPPBPJby75kPyuziF98Nk0wV8Ep4r5O0vIIXfjoZ4KNvD/wt2FY9XmIUw==" saltValue="c4fhXeISbzCeZooTU1HRdw==" spinCount="100000" sheet="1" objects="1" scenarios="1"/>
  <mergeCells count="171">
    <mergeCell ref="I3:M3"/>
    <mergeCell ref="K4:M4"/>
    <mergeCell ref="K5:M5"/>
    <mergeCell ref="W12:Y12"/>
    <mergeCell ref="Y31:AB31"/>
    <mergeCell ref="A31:S31"/>
    <mergeCell ref="T3:U3"/>
    <mergeCell ref="M63:R63"/>
    <mergeCell ref="A64:E64"/>
    <mergeCell ref="G64:J64"/>
    <mergeCell ref="M64:R64"/>
    <mergeCell ref="A61:E61"/>
    <mergeCell ref="G61:J61"/>
    <mergeCell ref="M61:R61"/>
    <mergeCell ref="A62:E62"/>
    <mergeCell ref="G62:J62"/>
    <mergeCell ref="M62:R62"/>
    <mergeCell ref="A56:E56"/>
    <mergeCell ref="G56:J56"/>
    <mergeCell ref="M56:R56"/>
    <mergeCell ref="A57:E57"/>
    <mergeCell ref="G57:J57"/>
    <mergeCell ref="M57:R57"/>
    <mergeCell ref="A51:E51"/>
    <mergeCell ref="G52:J52"/>
    <mergeCell ref="M52:R52"/>
    <mergeCell ref="A46:E46"/>
    <mergeCell ref="G46:J46"/>
    <mergeCell ref="M46:R46"/>
    <mergeCell ref="A47:E47"/>
    <mergeCell ref="G47:J47"/>
    <mergeCell ref="M47:R47"/>
    <mergeCell ref="L32:L64"/>
    <mergeCell ref="M32:R32"/>
    <mergeCell ref="M33:R33"/>
    <mergeCell ref="M34:R34"/>
    <mergeCell ref="M35:R35"/>
    <mergeCell ref="M36:R36"/>
    <mergeCell ref="M37:R37"/>
    <mergeCell ref="M38:R38"/>
    <mergeCell ref="M58:R58"/>
    <mergeCell ref="M59:R59"/>
    <mergeCell ref="M60:R60"/>
    <mergeCell ref="M53:R53"/>
    <mergeCell ref="M54:R54"/>
    <mergeCell ref="M55:R55"/>
    <mergeCell ref="M48:R48"/>
    <mergeCell ref="M49:R49"/>
    <mergeCell ref="M50:R50"/>
    <mergeCell ref="M42:R42"/>
    <mergeCell ref="M43:R43"/>
    <mergeCell ref="M44:R44"/>
    <mergeCell ref="M45:R45"/>
    <mergeCell ref="M39:R39"/>
    <mergeCell ref="M40:R40"/>
    <mergeCell ref="M41:R41"/>
    <mergeCell ref="M51:R51"/>
    <mergeCell ref="A39:E39"/>
    <mergeCell ref="G39:J39"/>
    <mergeCell ref="A40:E40"/>
    <mergeCell ref="G40:J40"/>
    <mergeCell ref="A41:E41"/>
    <mergeCell ref="G41:J41"/>
    <mergeCell ref="A49:E49"/>
    <mergeCell ref="G49:J49"/>
    <mergeCell ref="A63:E63"/>
    <mergeCell ref="G63:J63"/>
    <mergeCell ref="A58:E58"/>
    <mergeCell ref="G58:J58"/>
    <mergeCell ref="A59:E59"/>
    <mergeCell ref="G59:J59"/>
    <mergeCell ref="A60:E60"/>
    <mergeCell ref="G60:J60"/>
    <mergeCell ref="A53:E53"/>
    <mergeCell ref="G53:J53"/>
    <mergeCell ref="A54:E54"/>
    <mergeCell ref="G54:J54"/>
    <mergeCell ref="A55:E55"/>
    <mergeCell ref="G55:J55"/>
    <mergeCell ref="G51:J51"/>
    <mergeCell ref="A52:E52"/>
    <mergeCell ref="A50:E50"/>
    <mergeCell ref="G50:J50"/>
    <mergeCell ref="A42:E42"/>
    <mergeCell ref="G42:J42"/>
    <mergeCell ref="A43:E43"/>
    <mergeCell ref="G43:J43"/>
    <mergeCell ref="A44:E44"/>
    <mergeCell ref="G44:J44"/>
    <mergeCell ref="A45:E45"/>
    <mergeCell ref="G45:J45"/>
    <mergeCell ref="A48:E48"/>
    <mergeCell ref="G48:J48"/>
    <mergeCell ref="A34:E34"/>
    <mergeCell ref="G34:J34"/>
    <mergeCell ref="A35:E35"/>
    <mergeCell ref="G35:J35"/>
    <mergeCell ref="A36:E36"/>
    <mergeCell ref="G36:J36"/>
    <mergeCell ref="A37:E37"/>
    <mergeCell ref="G37:J37"/>
    <mergeCell ref="A38:E38"/>
    <mergeCell ref="G38:J38"/>
    <mergeCell ref="I10:M10"/>
    <mergeCell ref="B6:F6"/>
    <mergeCell ref="M15:O15"/>
    <mergeCell ref="A11:S11"/>
    <mergeCell ref="A32:E32"/>
    <mergeCell ref="G32:J32"/>
    <mergeCell ref="A33:E33"/>
    <mergeCell ref="G33:J33"/>
    <mergeCell ref="H12:I12"/>
    <mergeCell ref="J13:K13"/>
    <mergeCell ref="A13:E14"/>
    <mergeCell ref="H13:I14"/>
    <mergeCell ref="M16:O16"/>
    <mergeCell ref="F13:F14"/>
    <mergeCell ref="N10:O10"/>
    <mergeCell ref="J12:N12"/>
    <mergeCell ref="G6:H6"/>
    <mergeCell ref="G10:H10"/>
    <mergeCell ref="A7:O7"/>
    <mergeCell ref="M13:O13"/>
    <mergeCell ref="A29:S29"/>
    <mergeCell ref="A26:S26"/>
    <mergeCell ref="A27:S27"/>
    <mergeCell ref="A22:S22"/>
    <mergeCell ref="A23:S23"/>
    <mergeCell ref="A24:S24"/>
    <mergeCell ref="A25:S25"/>
    <mergeCell ref="M18:O18"/>
    <mergeCell ref="A19:K19"/>
    <mergeCell ref="A21:J21"/>
    <mergeCell ref="A20:K20"/>
    <mergeCell ref="P20:R20"/>
    <mergeCell ref="M20:O20"/>
    <mergeCell ref="M21:O21"/>
    <mergeCell ref="A1:I1"/>
    <mergeCell ref="J1:P2"/>
    <mergeCell ref="F17:F18"/>
    <mergeCell ref="A17:E18"/>
    <mergeCell ref="F15:F16"/>
    <mergeCell ref="Q1:S1"/>
    <mergeCell ref="S6:S7"/>
    <mergeCell ref="A8:P9"/>
    <mergeCell ref="C3:F3"/>
    <mergeCell ref="A10:D10"/>
    <mergeCell ref="B4:F4"/>
    <mergeCell ref="G4:H4"/>
    <mergeCell ref="B5:F5"/>
    <mergeCell ref="G5:H5"/>
    <mergeCell ref="P6:P7"/>
    <mergeCell ref="R3:S3"/>
    <mergeCell ref="Q4:S4"/>
    <mergeCell ref="O3:Q3"/>
    <mergeCell ref="Q6:Q7"/>
    <mergeCell ref="R6:R7"/>
    <mergeCell ref="L6:O6"/>
    <mergeCell ref="A2:I2"/>
    <mergeCell ref="A15:E16"/>
    <mergeCell ref="A12:B12"/>
    <mergeCell ref="M17:O17"/>
    <mergeCell ref="M19:O19"/>
    <mergeCell ref="J14:K14"/>
    <mergeCell ref="J15:K15"/>
    <mergeCell ref="J16:K16"/>
    <mergeCell ref="J17:K17"/>
    <mergeCell ref="J18:K18"/>
    <mergeCell ref="H15:I16"/>
    <mergeCell ref="H17:I18"/>
    <mergeCell ref="M14:O14"/>
  </mergeCells>
  <phoneticPr fontId="83" type="noConversion"/>
  <conditionalFormatting sqref="M20:O21">
    <cfRule type="notContainsBlanks" dxfId="134" priority="1">
      <formula>LEN(TRIM(M20))&gt;0</formula>
    </cfRule>
  </conditionalFormatting>
  <conditionalFormatting sqref="P4:P5">
    <cfRule type="timePeriod" dxfId="133" priority="8" stopIfTrue="1" timePeriod="today">
      <formula>FLOOR(P4,1)=TODAY()</formula>
    </cfRule>
  </conditionalFormatting>
  <conditionalFormatting sqref="P13:P14">
    <cfRule type="notContainsBlanks" dxfId="132" priority="6">
      <formula>LEN(TRIM(P13))&gt;0</formula>
    </cfRule>
  </conditionalFormatting>
  <conditionalFormatting sqref="P16">
    <cfRule type="notContainsBlanks" dxfId="131" priority="5">
      <formula>LEN(TRIM(P16))&gt;0</formula>
    </cfRule>
  </conditionalFormatting>
  <conditionalFormatting sqref="P18:P19">
    <cfRule type="notContainsBlanks" dxfId="130" priority="3">
      <formula>LEN(TRIM(P18))&gt;0</formula>
    </cfRule>
  </conditionalFormatting>
  <dataValidations count="2">
    <dataValidation type="list" allowBlank="1" showInputMessage="1" showErrorMessage="1" sqref="A21:J21" xr:uid="{E3F220BA-BC73-C444-BDFF-EADF465E26DA}">
      <formula1>".,Keine weiteren gesonderten Pauschalen,Übergabe an ehrenamtlichen Betreuer,Übernahme von ehrenamtlichen Betreuer,Übernahme von Berufsbetreuer,Beendigung oder Übergabe an Berufsbetreuer"</formula1>
    </dataValidation>
    <dataValidation allowBlank="1" showErrorMessage="1" sqref="Q1:S1" xr:uid="{7D1B2ACC-FCF2-1347-95AE-95F240E2C786}"/>
  </dataValidations>
  <pageMargins left="0.5" right="0.5" top="0.75" bottom="0.75" header="0.27777800000000002" footer="0.27777800000000002"/>
  <pageSetup scale="72"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9D49C-B3B3-9D41-A966-91732364A53E}">
  <sheetPr codeName="Tabelle4"/>
  <dimension ref="A1:AB146"/>
  <sheetViews>
    <sheetView showGridLines="0" workbookViewId="0">
      <selection activeCell="A22" sqref="A22:K22"/>
    </sheetView>
  </sheetViews>
  <sheetFormatPr baseColWidth="10" defaultColWidth="16.33203125" defaultRowHeight="20" customHeight="1"/>
  <cols>
    <col min="1" max="1" width="18.1640625" style="113" customWidth="1"/>
    <col min="2" max="2" width="5.5" style="113" customWidth="1"/>
    <col min="3" max="3" width="5.6640625" style="113" customWidth="1"/>
    <col min="4" max="4" width="4.33203125" style="113" customWidth="1"/>
    <col min="5" max="5" width="1.83203125" style="113" customWidth="1"/>
    <col min="6" max="6" width="6.83203125" style="113" customWidth="1"/>
    <col min="7" max="7" width="11.6640625" style="113" customWidth="1"/>
    <col min="8" max="8" width="12.6640625" style="113" customWidth="1"/>
    <col min="9" max="9" width="5.5" style="113" customWidth="1"/>
    <col min="10" max="10" width="5.83203125" style="113" customWidth="1"/>
    <col min="11" max="11" width="4.1640625" style="113" customWidth="1"/>
    <col min="12" max="12" width="1.5" style="113" customWidth="1"/>
    <col min="13" max="14" width="1.33203125" style="113" customWidth="1"/>
    <col min="15" max="15" width="6.1640625" style="113" customWidth="1"/>
    <col min="16" max="16" width="7.5" style="113" customWidth="1"/>
    <col min="17" max="17" width="5.6640625" style="113" customWidth="1"/>
    <col min="18" max="18" width="6.6640625" style="113" customWidth="1"/>
    <col min="19" max="19" width="5.83203125" style="113" customWidth="1"/>
    <col min="20" max="20" width="16.33203125" style="113" customWidth="1"/>
    <col min="21" max="21" width="16.33203125" style="113"/>
    <col min="22" max="23" width="5.83203125" style="113" customWidth="1"/>
    <col min="24" max="24" width="5.5" style="113" customWidth="1"/>
    <col min="25" max="25" width="32.6640625" style="113" customWidth="1"/>
    <col min="26" max="26" width="6.33203125" style="113" customWidth="1"/>
    <col min="27" max="27" width="4.6640625" style="430" customWidth="1"/>
    <col min="28" max="28" width="33.6640625" style="113" customWidth="1"/>
    <col min="29" max="16384" width="16.33203125" style="113"/>
  </cols>
  <sheetData>
    <row r="1" spans="1:26" ht="24" customHeight="1">
      <c r="A1" s="861" t="str">
        <f>Anleitung!A45</f>
        <v>Betreuungsbüro Max Mustermann</v>
      </c>
      <c r="B1" s="862"/>
      <c r="C1" s="862"/>
      <c r="D1" s="862"/>
      <c r="E1" s="862"/>
      <c r="F1" s="862"/>
      <c r="G1" s="862"/>
      <c r="H1" s="862"/>
      <c r="I1" s="862"/>
      <c r="J1" s="1117" t="str">
        <f>Anleitung!A47</f>
        <v xml:space="preserve">Max Mustermann
Postfach 12345
12345 Musterstadt
Tel: 052 – 40 30
Fax: 052 – 53 04 27 39 </v>
      </c>
      <c r="K1" s="864"/>
      <c r="L1" s="1118"/>
      <c r="M1" s="864"/>
      <c r="N1" s="1118"/>
      <c r="O1" s="864"/>
      <c r="P1" s="1118"/>
      <c r="Q1" s="1120" t="str">
        <f>'Aktuelle Einnahmen'!Z2</f>
        <v>Stufe C</v>
      </c>
      <c r="R1" s="1121"/>
      <c r="S1" s="1122"/>
      <c r="T1" s="110"/>
    </row>
    <row r="2" spans="1:26" ht="66" customHeight="1" thickBot="1">
      <c r="A2" s="908" t="str">
        <f>IFERROR(VLOOKUP(G3,'Aktuelle Einnahmen'!A2:B125,2,0),"")</f>
        <v>Amtsgericht XXX
Betreuungsgericht
Postfach XXX</v>
      </c>
      <c r="B2" s="866"/>
      <c r="C2" s="866"/>
      <c r="D2" s="866"/>
      <c r="E2" s="866"/>
      <c r="F2" s="866"/>
      <c r="G2" s="866"/>
      <c r="H2" s="866"/>
      <c r="I2" s="866"/>
      <c r="J2" s="1119"/>
      <c r="K2" s="866"/>
      <c r="L2" s="1119"/>
      <c r="M2" s="866"/>
      <c r="N2" s="1119"/>
      <c r="O2" s="866"/>
      <c r="P2" s="1119"/>
      <c r="Q2" s="116">
        <f>DATE(K5,J5,Q5)</f>
        <v>44161</v>
      </c>
      <c r="R2" s="117">
        <f>DATE(YEAR(Q2)+INT((MONTH(Q2)+(C13-1)*3-1)/12),MOD(MONTH(Q2)+(C13-1)*3-1,12)+1,DAY(Q2))</f>
        <v>44161</v>
      </c>
      <c r="S2" s="444"/>
      <c r="T2" s="110"/>
    </row>
    <row r="3" spans="1:26" ht="22" customHeight="1" thickBot="1">
      <c r="A3" s="445" t="s">
        <v>78</v>
      </c>
      <c r="B3" s="392">
        <v>2</v>
      </c>
      <c r="C3" s="883" t="str">
        <f>IF(OR(R19=1,R19=2,R19=3),"/ Q1",IF(OR(R19=4,R19=5,R19=6),"/ Q2",IF(OR(R19=7,R19=8,R19=9),"/ Q3","/ Q4")))&amp;" "&amp;S19</f>
        <v>/ Q1 2021</v>
      </c>
      <c r="D3" s="884"/>
      <c r="E3" s="884"/>
      <c r="F3" s="884"/>
      <c r="G3" s="144" t="str">
        <f>IFERROR(VLOOKUP(B3,'Aktuelle Einnahmen'!A2:H104,8,0),"")</f>
        <v>A1</v>
      </c>
      <c r="H3" s="119"/>
      <c r="I3" s="1129" t="s">
        <v>219</v>
      </c>
      <c r="J3" s="1130"/>
      <c r="K3" s="1130"/>
      <c r="L3" s="1130"/>
      <c r="M3" s="1131"/>
      <c r="N3" s="518"/>
      <c r="O3" s="1123" t="s">
        <v>142</v>
      </c>
      <c r="P3" s="1124"/>
      <c r="Q3" s="1125"/>
      <c r="R3" s="1126">
        <f>IF(ISNUMBER(T3), T3, 'Aktuelle Einnahmen'!D$4)</f>
        <v>44247</v>
      </c>
      <c r="S3" s="1127"/>
      <c r="T3" s="972">
        <f>IF(OR(ISBLANK(V3), ISBLANK(W3), ISBLANK(X3)), "", DATE(100+X3, W3, V3))</f>
        <v>44247</v>
      </c>
      <c r="U3" s="973"/>
      <c r="V3" s="732">
        <v>20</v>
      </c>
      <c r="W3" s="332">
        <v>2</v>
      </c>
      <c r="X3" s="733">
        <v>21</v>
      </c>
      <c r="Y3" s="1084" t="s">
        <v>140</v>
      </c>
      <c r="Z3" s="1086"/>
    </row>
    <row r="4" spans="1:26" ht="20" customHeight="1">
      <c r="A4" s="632" t="s">
        <v>9</v>
      </c>
      <c r="B4" s="1094" t="s">
        <v>10</v>
      </c>
      <c r="C4" s="930"/>
      <c r="D4" s="930"/>
      <c r="E4" s="930"/>
      <c r="F4" s="930"/>
      <c r="G4" s="1094" t="s">
        <v>17</v>
      </c>
      <c r="H4" s="930"/>
      <c r="I4" s="633" t="s">
        <v>18</v>
      </c>
      <c r="J4" s="633" t="s">
        <v>5</v>
      </c>
      <c r="K4" s="1132" t="s">
        <v>19</v>
      </c>
      <c r="L4" s="1133"/>
      <c r="M4" s="1134"/>
      <c r="N4" s="155"/>
      <c r="O4" s="519">
        <f>DATE(K5,J5,I5+1)</f>
        <v>44161</v>
      </c>
      <c r="P4" s="391">
        <f>DATE(K5,J5,I5)</f>
        <v>44160</v>
      </c>
      <c r="Q4" s="1095" t="s">
        <v>20</v>
      </c>
      <c r="R4" s="856"/>
      <c r="S4" s="1096"/>
      <c r="T4" s="725"/>
      <c r="U4" s="110"/>
      <c r="V4" s="726"/>
      <c r="W4" s="726"/>
    </row>
    <row r="5" spans="1:26" ht="20" customHeight="1">
      <c r="A5" s="626" t="str">
        <f>IFERROR(VLOOKUP(B3,'Aktuelle Einnahmen'!A2:G104,2,0),"")</f>
        <v>Benjamin</v>
      </c>
      <c r="B5" s="1097" t="str">
        <f>IFERROR(VLOOKUP(B3,'Aktuelle Einnahmen'!A2:G104,3,0),"")</f>
        <v>Brown</v>
      </c>
      <c r="C5" s="893"/>
      <c r="D5" s="893"/>
      <c r="E5" s="893"/>
      <c r="F5" s="893"/>
      <c r="G5" s="892" t="str">
        <f>IFERROR(VLOOKUP(B3,'Aktuelle Einnahmen'!A2:G104,4,0),"")</f>
        <v>10 XVII 834 / 19 B</v>
      </c>
      <c r="H5" s="893"/>
      <c r="I5" s="627">
        <f>IFERROR(VLOOKUP(B3,'Aktuelle Einnahmen'!A2:G104,5,0),"")</f>
        <v>25</v>
      </c>
      <c r="J5" s="627">
        <f>IFERROR(VLOOKUP(B3,'Aktuelle Einnahmen'!A2:G104,6,0),"")</f>
        <v>11</v>
      </c>
      <c r="K5" s="1135">
        <f>IFERROR(VLOOKUP(B3,'Aktuelle Einnahmen'!A2:G104,7,0)+2000,"")</f>
        <v>2020</v>
      </c>
      <c r="L5" s="1136"/>
      <c r="M5" s="1137"/>
      <c r="O5" s="652">
        <f>DATE(K5,J5,I5)</f>
        <v>44160</v>
      </c>
      <c r="P5" s="728" t="s">
        <v>21</v>
      </c>
      <c r="Q5" s="729">
        <f>DAY(T5)</f>
        <v>26</v>
      </c>
      <c r="R5" s="730">
        <f>MONTH(T5)</f>
        <v>11</v>
      </c>
      <c r="S5" s="731">
        <f>YEAR(T5)</f>
        <v>2020</v>
      </c>
      <c r="T5" s="727">
        <f>EDATE(O4, V5*3)</f>
        <v>44161</v>
      </c>
      <c r="U5" s="726"/>
      <c r="V5" s="724">
        <f>C13-1</f>
        <v>0</v>
      </c>
      <c r="W5" s="726"/>
    </row>
    <row r="6" spans="1:26" ht="8" hidden="1" customHeight="1">
      <c r="A6" s="690"/>
      <c r="B6" s="929"/>
      <c r="C6" s="930"/>
      <c r="D6" s="930"/>
      <c r="E6" s="930"/>
      <c r="F6" s="930"/>
      <c r="G6" s="929"/>
      <c r="H6" s="930"/>
      <c r="I6" s="711"/>
      <c r="J6" s="712"/>
      <c r="K6" s="712"/>
      <c r="L6" s="906"/>
      <c r="M6" s="907"/>
      <c r="N6" s="907"/>
      <c r="O6" s="907"/>
      <c r="P6" s="894" t="s">
        <v>22</v>
      </c>
      <c r="Q6" s="1112">
        <f>DAY(T7)</f>
        <v>25</v>
      </c>
      <c r="R6" s="905">
        <f>MONTH(T7)</f>
        <v>2</v>
      </c>
      <c r="S6" s="875">
        <f>YEAR(T7)</f>
        <v>2021</v>
      </c>
      <c r="T6" s="399"/>
      <c r="U6" s="726"/>
      <c r="V6" s="726"/>
      <c r="W6" s="726"/>
    </row>
    <row r="7" spans="1:26" ht="42" customHeight="1" thickBot="1">
      <c r="A7" s="1102" t="s">
        <v>208</v>
      </c>
      <c r="B7" s="907"/>
      <c r="C7" s="907"/>
      <c r="D7" s="907"/>
      <c r="E7" s="907"/>
      <c r="F7" s="907"/>
      <c r="G7" s="907"/>
      <c r="H7" s="907"/>
      <c r="I7" s="907"/>
      <c r="J7" s="907"/>
      <c r="K7" s="907"/>
      <c r="L7" s="907"/>
      <c r="M7" s="907"/>
      <c r="N7" s="907"/>
      <c r="O7" s="907"/>
      <c r="P7" s="889"/>
      <c r="Q7" s="1113"/>
      <c r="R7" s="1114"/>
      <c r="S7" s="1101"/>
      <c r="T7" s="727">
        <f>EDATE(O4, C13*3)-1</f>
        <v>44252</v>
      </c>
      <c r="U7" s="726"/>
      <c r="V7" s="726"/>
      <c r="W7" s="726"/>
    </row>
    <row r="8" spans="1:26" ht="38" customHeight="1" thickBot="1">
      <c r="A8" s="1103" t="str">
        <f>IF(OR(AND(B11="Mittellos und ambulant", OR(K11="Vermögend und stationär", K11="Vermögend und ambulant")), AND(B11="Mittellos und stationär", OR(K11="Vermögend und stationär", K11="Vermögend und ambulant")), AND(B11="Vermögend und ambulant", OR(K11="Mittellos und ambulant", K11="Mittellos und stationär")), AND(B11="Vermögend und stationär", OR(K11="Mittellos und ambulant", K11="Mittellos und stationär"))), "Erstellung eines Festsetzungsbeschlusses, zum vom Betroffenen zu zahlenden Vergütungsbetrages und die Erstattung meiner Vergütung aus der Staatskasse.", IF(B11="Vermögend und ambulant", "Erstellung eines Festsetzungsbeschlusses, zum vom Betroffenen zu zahlenden Vergütungsbetrages.", IF(B11="Mittellos und ambulant", "Erstattung meiner Vergütung aus der Staatskasse.", IF(B11="Vermögend und stationär", "Erstellung eines Festsetzungsbeschlusses zur Entnahme des vom Betroffenen zu zahlenden Betrages.", IF(B11="Mittellos und stationär", "Erstattung meiner Vergütung aus der Staatskasse.", "")))))</f>
        <v>Erstellung eines Festsetzungsbeschlusses, zum vom Betroffenen zu zahlenden Vergütungsbetrages und die Erstattung meiner Vergütung aus der Staatskasse.</v>
      </c>
      <c r="B8" s="1104"/>
      <c r="C8" s="1104"/>
      <c r="D8" s="1104"/>
      <c r="E8" s="1104"/>
      <c r="F8" s="1104"/>
      <c r="G8" s="1104"/>
      <c r="H8" s="1104"/>
      <c r="I8" s="1104"/>
      <c r="J8" s="1104"/>
      <c r="K8" s="1104"/>
      <c r="L8" s="1104"/>
      <c r="M8" s="1104"/>
      <c r="N8" s="1104"/>
      <c r="O8" s="1104"/>
      <c r="P8" s="1104"/>
      <c r="Q8" s="123"/>
      <c r="R8" s="123"/>
      <c r="S8" s="1098">
        <f>DATE(YEAR(P4),MONTH(P4)+3,DAY(P4))</f>
        <v>44252</v>
      </c>
      <c r="T8" s="1099"/>
      <c r="U8" s="1099"/>
      <c r="V8" s="1099"/>
      <c r="W8" s="110"/>
    </row>
    <row r="9" spans="1:26" ht="12" hidden="1" customHeight="1">
      <c r="A9" s="1104"/>
      <c r="B9" s="1104"/>
      <c r="C9" s="1104"/>
      <c r="D9" s="1104"/>
      <c r="E9" s="1104"/>
      <c r="F9" s="1104"/>
      <c r="G9" s="1104"/>
      <c r="H9" s="1104"/>
      <c r="I9" s="1104"/>
      <c r="J9" s="1104"/>
      <c r="K9" s="1104"/>
      <c r="L9" s="1104"/>
      <c r="M9" s="1104"/>
      <c r="N9" s="1104"/>
      <c r="O9" s="1104"/>
      <c r="P9" s="1104"/>
      <c r="Q9" s="123"/>
      <c r="R9" s="123"/>
      <c r="S9" s="447"/>
      <c r="T9" s="110"/>
    </row>
    <row r="10" spans="1:26" ht="30" customHeight="1">
      <c r="A10" s="691"/>
      <c r="B10" s="692"/>
      <c r="C10" s="692"/>
      <c r="D10" s="692"/>
      <c r="E10" s="692"/>
      <c r="F10" s="692"/>
      <c r="G10" s="1105" t="s">
        <v>80</v>
      </c>
      <c r="H10" s="1106"/>
      <c r="I10" s="1107">
        <f>SUM(M21)+SUM(L20)+SUM(M19)+SUM(M17)+SUM(M15)+SUM(M22)</f>
        <v>90</v>
      </c>
      <c r="J10" s="1108"/>
      <c r="K10" s="1108"/>
      <c r="L10" s="1108"/>
      <c r="M10" s="1109"/>
      <c r="N10" s="1110"/>
      <c r="O10" s="1111"/>
      <c r="P10" s="693"/>
      <c r="Q10" s="694"/>
      <c r="R10" s="695">
        <f>R14-J5</f>
        <v>0</v>
      </c>
      <c r="S10" s="696">
        <f>S14-K5</f>
        <v>0</v>
      </c>
      <c r="T10" s="110"/>
    </row>
    <row r="11" spans="1:26" ht="28" customHeight="1" thickBot="1">
      <c r="A11" s="697" t="s">
        <v>206</v>
      </c>
      <c r="B11" s="1115" t="s">
        <v>15</v>
      </c>
      <c r="C11" s="1115"/>
      <c r="D11" s="1115"/>
      <c r="E11" s="1115"/>
      <c r="F11" s="1115"/>
      <c r="G11" s="1115"/>
      <c r="H11" s="1100" t="s">
        <v>207</v>
      </c>
      <c r="I11" s="1100"/>
      <c r="J11" s="1100"/>
      <c r="K11" s="1115" t="s">
        <v>201</v>
      </c>
      <c r="L11" s="1115"/>
      <c r="M11" s="1115"/>
      <c r="N11" s="1115"/>
      <c r="O11" s="1115"/>
      <c r="P11" s="1115"/>
      <c r="Q11" s="1115"/>
      <c r="R11" s="1115"/>
      <c r="S11" s="1116"/>
      <c r="T11" s="110"/>
    </row>
    <row r="12" spans="1:26" ht="46" customHeight="1" thickBot="1">
      <c r="A12" s="1128" t="s">
        <v>200</v>
      </c>
      <c r="B12" s="1128"/>
      <c r="C12" s="1128"/>
      <c r="D12" s="1128"/>
      <c r="E12" s="1128"/>
      <c r="F12" s="1128"/>
      <c r="G12" s="1128"/>
      <c r="H12" s="1128"/>
      <c r="I12" s="1128"/>
      <c r="J12" s="1128"/>
      <c r="K12" s="1128"/>
      <c r="L12" s="1128"/>
      <c r="M12" s="1128"/>
      <c r="N12" s="1128"/>
      <c r="O12" s="1128"/>
      <c r="P12" s="1128"/>
      <c r="Q12" s="1128"/>
      <c r="R12" s="1128"/>
      <c r="S12" s="1128"/>
      <c r="T12" s="110"/>
    </row>
    <row r="13" spans="1:26" ht="22" customHeight="1" thickBot="1">
      <c r="A13" s="1092" t="s">
        <v>24</v>
      </c>
      <c r="B13" s="1093"/>
      <c r="C13" s="668">
        <f>IF(ISNUMBER(V13), V13, ROUNDDOWN((DATEDIF(P4, R3, "M") ) / 3, 0))</f>
        <v>1</v>
      </c>
      <c r="D13" s="671"/>
      <c r="E13" s="671"/>
      <c r="F13" s="671"/>
      <c r="G13" s="698"/>
      <c r="H13" s="1090" t="s">
        <v>30</v>
      </c>
      <c r="I13" s="1091"/>
      <c r="J13" s="1088" t="s">
        <v>26</v>
      </c>
      <c r="K13" s="1089"/>
      <c r="L13" s="699"/>
      <c r="M13" s="699"/>
      <c r="N13" s="699"/>
      <c r="O13" s="700" t="str">
        <f>IF(Q1="Stufe C",S28,IF(Q1="Stufe A",S30,IF(Q1="Stufe B",S29)))</f>
        <v/>
      </c>
      <c r="P13" s="673" t="e">
        <f>O13+P22</f>
        <v>#VALUE!</v>
      </c>
      <c r="Q13" s="639" t="s">
        <v>18</v>
      </c>
      <c r="R13" s="639" t="s">
        <v>27</v>
      </c>
      <c r="S13" s="639" t="s">
        <v>19</v>
      </c>
      <c r="T13" s="110"/>
      <c r="U13" s="331">
        <f>IF(ISBLANK(V13), "", V13)</f>
        <v>1</v>
      </c>
      <c r="V13" s="332">
        <v>1</v>
      </c>
      <c r="W13" s="1084" t="s">
        <v>139</v>
      </c>
      <c r="X13" s="1085"/>
      <c r="Y13" s="1085"/>
      <c r="Z13" s="1086"/>
    </row>
    <row r="14" spans="1:26" ht="19" customHeight="1">
      <c r="A14" s="1073" t="s">
        <v>81</v>
      </c>
      <c r="B14" s="1074"/>
      <c r="C14" s="1074"/>
      <c r="D14" s="1074"/>
      <c r="E14" s="1075"/>
      <c r="F14" s="546">
        <v>1</v>
      </c>
      <c r="G14" s="541"/>
      <c r="H14" s="857">
        <f>S10*12+R10+1</f>
        <v>1</v>
      </c>
      <c r="I14" s="858"/>
      <c r="J14" s="855">
        <f>DATE(S5,R5,Q14)</f>
        <v>44161</v>
      </c>
      <c r="K14" s="856"/>
      <c r="L14" s="126"/>
      <c r="M14" s="1082"/>
      <c r="N14" s="1087"/>
      <c r="O14" s="646"/>
      <c r="P14" s="674"/>
      <c r="Q14" s="640">
        <f>DAY(O4)</f>
        <v>26</v>
      </c>
      <c r="R14" s="640">
        <f>R5</f>
        <v>11</v>
      </c>
      <c r="S14" s="640">
        <f>S5</f>
        <v>2020</v>
      </c>
      <c r="T14" s="110"/>
      <c r="U14" s="110"/>
    </row>
    <row r="15" spans="1:26" ht="19" customHeight="1">
      <c r="A15" s="1076"/>
      <c r="B15" s="1077"/>
      <c r="C15" s="1077"/>
      <c r="D15" s="1077"/>
      <c r="E15" s="1078"/>
      <c r="F15" s="1081" t="str">
        <f>IF(F14=F25,"Wechselmonat","")</f>
        <v/>
      </c>
      <c r="G15" s="870"/>
      <c r="H15" s="858"/>
      <c r="I15" s="858"/>
      <c r="J15" s="853">
        <f>EDATE(J14,1)-1</f>
        <v>44190</v>
      </c>
      <c r="K15" s="854"/>
      <c r="L15" s="129">
        <f>IF(OR(S15=2024,S15=2025),7.5,0)</f>
        <v>0</v>
      </c>
      <c r="M15" s="859">
        <f>L26</f>
        <v>0</v>
      </c>
      <c r="N15" s="860"/>
      <c r="O15" s="860"/>
      <c r="P15" s="674" t="str">
        <f>IF(L15&gt;0,L15,"")</f>
        <v/>
      </c>
      <c r="Q15" s="640">
        <f>DAY(J15)</f>
        <v>25</v>
      </c>
      <c r="R15" s="641">
        <f>MONTH(J15)</f>
        <v>12</v>
      </c>
      <c r="S15" s="640">
        <f>YEAR(J15)</f>
        <v>2020</v>
      </c>
      <c r="T15" s="110"/>
    </row>
    <row r="16" spans="1:26" ht="20" customHeight="1">
      <c r="A16" s="1073" t="s">
        <v>28</v>
      </c>
      <c r="B16" s="1074"/>
      <c r="C16" s="1074"/>
      <c r="D16" s="1074"/>
      <c r="E16" s="1075"/>
      <c r="F16" s="547">
        <v>2</v>
      </c>
      <c r="G16" s="541"/>
      <c r="H16" s="857">
        <f>H14+1</f>
        <v>2</v>
      </c>
      <c r="I16" s="858"/>
      <c r="J16" s="855">
        <f>J15+1</f>
        <v>44191</v>
      </c>
      <c r="K16" s="856"/>
      <c r="L16" s="548"/>
      <c r="M16" s="1082"/>
      <c r="N16" s="1083"/>
      <c r="O16" s="1083"/>
      <c r="P16" s="676"/>
      <c r="Q16" s="640">
        <f>DAY(J16)</f>
        <v>26</v>
      </c>
      <c r="R16" s="641">
        <f>MONTH(J16)</f>
        <v>12</v>
      </c>
      <c r="S16" s="640">
        <f>YEAR(J16)</f>
        <v>2020</v>
      </c>
      <c r="T16" s="110"/>
    </row>
    <row r="17" spans="1:20" ht="20" customHeight="1">
      <c r="A17" s="1076"/>
      <c r="B17" s="1077"/>
      <c r="C17" s="1077"/>
      <c r="D17" s="1077"/>
      <c r="E17" s="1078"/>
      <c r="F17" s="1081" t="str">
        <f>IF(F16=F25,"Wechselmonat","")</f>
        <v/>
      </c>
      <c r="G17" s="870"/>
      <c r="H17" s="858"/>
      <c r="I17" s="858"/>
      <c r="J17" s="855">
        <f>EDATE(J14,2)-1</f>
        <v>44221</v>
      </c>
      <c r="K17" s="856"/>
      <c r="L17" s="129">
        <f>IF(OR(S17=2024,S17=2025),7.5,0)</f>
        <v>0</v>
      </c>
      <c r="M17" s="914">
        <f>M26</f>
        <v>0</v>
      </c>
      <c r="N17" s="860"/>
      <c r="O17" s="860"/>
      <c r="P17" s="674" t="str">
        <f>IF(L17&gt;0,L17,"")</f>
        <v/>
      </c>
      <c r="Q17" s="640">
        <f>DAY(J17)</f>
        <v>25</v>
      </c>
      <c r="R17" s="641">
        <f>MONTH(J17)</f>
        <v>1</v>
      </c>
      <c r="S17" s="640">
        <f>YEAR(J17)</f>
        <v>2021</v>
      </c>
      <c r="T17" s="110"/>
    </row>
    <row r="18" spans="1:20" ht="19" customHeight="1">
      <c r="A18" s="1073" t="s">
        <v>29</v>
      </c>
      <c r="B18" s="1074"/>
      <c r="C18" s="1074"/>
      <c r="D18" s="1074"/>
      <c r="E18" s="1075"/>
      <c r="F18" s="547">
        <v>3</v>
      </c>
      <c r="G18" s="134"/>
      <c r="H18" s="857">
        <f>H14+2</f>
        <v>3</v>
      </c>
      <c r="I18" s="858"/>
      <c r="J18" s="855">
        <f>J17+1</f>
        <v>44222</v>
      </c>
      <c r="K18" s="856"/>
      <c r="L18" s="548"/>
      <c r="M18" s="1079"/>
      <c r="N18" s="1080"/>
      <c r="O18" s="1080"/>
      <c r="P18" s="676"/>
      <c r="Q18" s="640">
        <f>DAY(J18)</f>
        <v>26</v>
      </c>
      <c r="R18" s="641">
        <f>MONTH(J18)</f>
        <v>1</v>
      </c>
      <c r="S18" s="640">
        <f>YEAR(J18)</f>
        <v>2021</v>
      </c>
      <c r="T18" s="110"/>
    </row>
    <row r="19" spans="1:20" ht="20" customHeight="1">
      <c r="A19" s="1076"/>
      <c r="B19" s="1077"/>
      <c r="C19" s="1077"/>
      <c r="D19" s="1077"/>
      <c r="E19" s="1078"/>
      <c r="F19" s="1081" t="str">
        <f>IF(F18=F25,"Wechselmonat","")</f>
        <v/>
      </c>
      <c r="G19" s="870"/>
      <c r="H19" s="858"/>
      <c r="I19" s="858"/>
      <c r="J19" s="855">
        <f>EDATE(J14,3)-1</f>
        <v>44252</v>
      </c>
      <c r="K19" s="856"/>
      <c r="L19" s="129">
        <f>IF(OR(S19=2024,S19=2025),7.5,0)</f>
        <v>0</v>
      </c>
      <c r="M19" s="914">
        <f>M25</f>
        <v>0</v>
      </c>
      <c r="N19" s="860"/>
      <c r="O19" s="860"/>
      <c r="P19" s="674" t="str">
        <f>IF(L19&gt;0,L19,"")</f>
        <v/>
      </c>
      <c r="Q19" s="640">
        <f>DAY(J19)</f>
        <v>25</v>
      </c>
      <c r="R19" s="641">
        <f>MONTH(J19)</f>
        <v>2</v>
      </c>
      <c r="S19" s="640">
        <f>YEAR(J19)</f>
        <v>2021</v>
      </c>
      <c r="T19" s="110"/>
    </row>
    <row r="20" spans="1:20" ht="20" customHeight="1">
      <c r="A20" s="1061" t="str">
        <f>IF(ISNUMBER(P20),"Inflationsprämie laut Bundesratsbeschluss vom 15.12.2023 7,50 EUR pro Monat:","")</f>
        <v/>
      </c>
      <c r="B20" s="1062"/>
      <c r="C20" s="1062"/>
      <c r="D20" s="1062"/>
      <c r="E20" s="1062"/>
      <c r="F20" s="1062"/>
      <c r="G20" s="1062"/>
      <c r="H20" s="1062"/>
      <c r="I20" s="1062"/>
      <c r="J20" s="1062"/>
      <c r="K20" s="1062"/>
      <c r="L20" s="549">
        <f>SUM(P19)+SUM(P17)+SUM(P15)+SUM(P16)+SUM(P14)+SUM(P18)</f>
        <v>0</v>
      </c>
      <c r="M20" s="1063"/>
      <c r="N20" s="870"/>
      <c r="O20" s="1064"/>
      <c r="P20" s="687" t="str">
        <f>IF(L20&gt;0,L20,"")</f>
        <v/>
      </c>
      <c r="Q20" s="637">
        <f>IF(OR(OR(S18=24,S18=25),OR(S19=24,S19=25)),7,0)</f>
        <v>0</v>
      </c>
      <c r="R20" s="638">
        <f>P16</f>
        <v>0</v>
      </c>
      <c r="S20" s="680">
        <f>IF(AND(OR(S15=2024, S15=2025)), IF(OR(A11="Beendigung der Betreuung", A11="Übergabe an Berufsbetreuer", A11="Übergabe an ehrenamtlichen Betreuer"), IF(OR(MONTH(J15)=MONTH(G26), G26&gt;J15), 7.5, 0), 0), IF(J15&lt;G26, 0, ""))</f>
        <v>0</v>
      </c>
      <c r="T20" s="110"/>
    </row>
    <row r="21" spans="1:20" ht="19" hidden="1" customHeight="1">
      <c r="A21" s="1065"/>
      <c r="B21" s="1066"/>
      <c r="C21" s="1066"/>
      <c r="D21" s="1066"/>
      <c r="E21" s="1066"/>
      <c r="F21" s="1066"/>
      <c r="G21" s="1066"/>
      <c r="H21" s="1066"/>
      <c r="I21" s="1066"/>
      <c r="J21" s="1066"/>
      <c r="K21" s="1066"/>
      <c r="L21" s="550"/>
      <c r="M21" s="1067"/>
      <c r="N21" s="1068"/>
      <c r="O21" s="1068"/>
      <c r="P21" s="701"/>
      <c r="Q21" s="154"/>
      <c r="R21" s="155"/>
      <c r="S21" s="680"/>
      <c r="T21" s="110"/>
    </row>
    <row r="22" spans="1:20" ht="19" customHeight="1" thickBot="1">
      <c r="A22" s="1069" t="str">
        <f>IF(M22=90,"Ferner wird eine gesonderte Pauschale gem. § 10 VBVG geltend gemacht.","")</f>
        <v>Ferner wird eine gesonderte Pauschale gem. § 10 VBVG geltend gemacht.</v>
      </c>
      <c r="B22" s="1070"/>
      <c r="C22" s="1070"/>
      <c r="D22" s="1070"/>
      <c r="E22" s="1070"/>
      <c r="F22" s="1070"/>
      <c r="G22" s="1070"/>
      <c r="H22" s="1070"/>
      <c r="I22" s="1070"/>
      <c r="J22" s="1070"/>
      <c r="K22" s="1070"/>
      <c r="L22" s="703">
        <f>IFERROR(VLOOKUP(B3,'Aktuelle Einnahmen'!A2:AF104,30,0),"")</f>
        <v>1</v>
      </c>
      <c r="M22" s="1071">
        <f>IF(L22=0,"",90)</f>
        <v>90</v>
      </c>
      <c r="N22" s="1072"/>
      <c r="O22" s="1072"/>
      <c r="P22" s="702"/>
      <c r="Q22" s="154" t="str">
        <f>IF(F25=1,0,IF(F25=2,1,IF(F25=3,2,"")))</f>
        <v/>
      </c>
      <c r="R22" s="154"/>
      <c r="S22" s="154" t="str">
        <f>IF(F25=1,2,IF(F25=2,1,IF(F25=3,0,"")))</f>
        <v/>
      </c>
      <c r="T22" s="110"/>
    </row>
    <row r="23" spans="1:20" ht="19" customHeight="1">
      <c r="A23" s="704"/>
      <c r="B23" s="1047" t="str">
        <f>IF(F25=0, "Das Datum vom Wechsel muss im Bereich des Vergütungszeitraums gewählt werden", "")</f>
        <v>Das Datum vom Wechsel muss im Bereich des Vergütungszeitraums gewählt werden</v>
      </c>
      <c r="C23" s="1047"/>
      <c r="D23" s="1047"/>
      <c r="E23" s="1047"/>
      <c r="F23" s="1047"/>
      <c r="G23" s="1047"/>
      <c r="H23" s="1047"/>
      <c r="I23" s="1047"/>
      <c r="J23" s="1047"/>
      <c r="K23" s="1047"/>
      <c r="L23" s="1047"/>
      <c r="M23" s="1047"/>
      <c r="N23" s="1047"/>
      <c r="O23" s="1047"/>
      <c r="P23" s="1047"/>
      <c r="Q23" s="1047"/>
      <c r="R23" s="1047"/>
      <c r="S23" s="1047"/>
      <c r="T23" s="110"/>
    </row>
    <row r="24" spans="1:20" ht="22" customHeight="1">
      <c r="A24" s="1058" t="s">
        <v>79</v>
      </c>
      <c r="B24" s="1059"/>
      <c r="C24" s="1059"/>
      <c r="D24" s="1059"/>
      <c r="E24" s="1059"/>
      <c r="F24" s="1059"/>
      <c r="G24" s="1059"/>
      <c r="H24" s="1059"/>
      <c r="I24" s="1059"/>
      <c r="J24" s="1059"/>
      <c r="K24" s="1059"/>
      <c r="L24" s="1059"/>
      <c r="M24" s="1059"/>
      <c r="N24" s="1059"/>
      <c r="O24" s="1059"/>
      <c r="P24" s="1059"/>
      <c r="Q24" s="1059"/>
      <c r="R24" s="1059"/>
      <c r="S24" s="1060"/>
      <c r="T24" s="110"/>
    </row>
    <row r="25" spans="1:20" ht="21" customHeight="1">
      <c r="A25" s="1048" t="str">
        <f>IF(A11="Beendigung der Betreuung","Beendigung im",IF(A11="Übergabe an Berufsbetreuer","Übergabe im",IF(A11="Übergabe an ehrenamtlichen Betreuer","Übergabe im",IF(A11="Übernahme von Berufsbetreuer","Übernahme im",IF(A11="Übernahme von ehrenamtlichen Betreuer","Übernahme im","")))))</f>
        <v/>
      </c>
      <c r="B25" s="1049"/>
      <c r="C25" s="1050" t="s">
        <v>27</v>
      </c>
      <c r="D25" s="1051"/>
      <c r="E25" s="1052"/>
      <c r="F25" s="664">
        <f>SUM(G25,H25,I25)</f>
        <v>0</v>
      </c>
      <c r="G25" s="381" t="str">
        <f>IF(OR(AND(J15&gt;G26,J14&lt;G26),J14=G26,J15=G26),1,"")</f>
        <v/>
      </c>
      <c r="H25" s="382" t="str">
        <f>IF(OR(AND(J17&gt;G26,J16&lt;G26),J16=G26,J17=G26),2,"")</f>
        <v/>
      </c>
      <c r="I25" s="382" t="str">
        <f>IF(OR(AND(J19&gt;G26,J18&lt;G26),J18=G26,J19=G26),3,"")</f>
        <v/>
      </c>
      <c r="J25" s="156"/>
      <c r="K25" s="157">
        <f>F25</f>
        <v>0</v>
      </c>
      <c r="L25" s="156"/>
      <c r="M25" s="158">
        <f>IF(K25=2,""&amp;D33&amp;"")+IF(K25=3,""&amp;D33&amp;"")+IF(K25=1,""&amp;D33&amp;"")</f>
        <v>0</v>
      </c>
      <c r="N25" s="1053"/>
      <c r="O25" s="1054"/>
      <c r="P25" s="1055"/>
      <c r="Q25" s="158"/>
      <c r="R25" s="159"/>
      <c r="S25" s="579"/>
      <c r="T25" s="110"/>
    </row>
    <row r="26" spans="1:20" ht="21" customHeight="1">
      <c r="A26" s="450" t="s">
        <v>31</v>
      </c>
      <c r="B26" s="608">
        <v>30</v>
      </c>
      <c r="C26" s="608">
        <v>11</v>
      </c>
      <c r="D26" s="1056">
        <v>23</v>
      </c>
      <c r="E26" s="1057"/>
      <c r="F26" s="580"/>
      <c r="G26" s="160">
        <f>DATE(D26+2000,C26,B26)</f>
        <v>45260</v>
      </c>
      <c r="H26" s="160">
        <f>DATE(S14,R14,Q14)</f>
        <v>44161</v>
      </c>
      <c r="I26" s="154"/>
      <c r="J26" s="161"/>
      <c r="K26" s="161"/>
      <c r="L26" s="162">
        <f>IF(K25=3,""&amp;D28&amp;"")+IF(K25=2,""&amp;D28&amp;"")+IF(K25=1,""&amp;D33&amp;"")</f>
        <v>0</v>
      </c>
      <c r="M26" s="162">
        <f>IF(K25=2,""&amp;D33&amp;"")+IF(K25=3,""&amp;D28&amp;"")+IF(K25=1,""&amp;D33&amp;"")</f>
        <v>0</v>
      </c>
      <c r="N26" s="161"/>
      <c r="O26" s="161"/>
      <c r="P26" s="161"/>
      <c r="Q26" s="162"/>
      <c r="R26" s="383"/>
      <c r="S26" s="581"/>
      <c r="T26" s="110"/>
    </row>
    <row r="27" spans="1:20" ht="20" customHeight="1">
      <c r="A27" s="655"/>
      <c r="B27" s="110"/>
      <c r="C27" s="110"/>
      <c r="D27" s="110"/>
      <c r="E27" s="110"/>
      <c r="F27" s="110"/>
      <c r="G27" s="110"/>
      <c r="H27" s="110"/>
      <c r="I27" s="110"/>
      <c r="J27" s="110"/>
      <c r="K27" s="110"/>
      <c r="L27" s="110"/>
      <c r="M27" s="110"/>
      <c r="N27" s="110"/>
      <c r="O27" s="110"/>
      <c r="P27" s="110"/>
      <c r="Q27" s="110"/>
      <c r="R27" s="110"/>
      <c r="S27" s="656"/>
    </row>
    <row r="28" spans="1:20" ht="23" customHeight="1">
      <c r="A28" s="1036" t="s">
        <v>32</v>
      </c>
      <c r="B28" s="1037"/>
      <c r="C28" s="1037"/>
      <c r="D28" s="1024">
        <f>IF(Q1="Stufe A",IF(AND(B11="Auswahl treffen",C13&gt;=0,C13&lt;=1000),B11,IF(AND(B11="Vermögend und ambulant",C13&gt;8,C13&lt;=1000),130,IF(AND(B11="Vermögend und ambulant",C13&gt;4,C13&lt;=8),158,IF(AND(B11="Vermögend und ambulant",C13&gt;2,C13&lt;=4),192,IF(AND(B11="Vermögend und ambulant",C13&gt;1,C13&lt;=2),208,IF(AND(B11="Vermögend und ambulant",C13&gt;0,C13&lt;=1),298,IF(AND(B11="Vermögend und stationär",C13&gt;8,C13&lt;=1000),78,IF(AND(B11="Vermögend und stationär",C13&gt;4,C13&lt;=8),91,IF(AND(B11="Vermögend und stationär",C13&gt;2,C13&lt;=4),140,IF(AND(B11="Vermögend und stationär",C13&gt;1,C13&lt;=2),158,IF(AND(B11="Vermögend und stationär",C13&gt;0,C13&lt;=1),200,IF(AND(B11="Mittellos und ambulant",C13&gt;8,C13&lt;=1000),105,IF(AND(B11="Mittellos und ambulant",C13&gt;4,C13&lt;=8),122,IF(AND(B11="Mittellos und ambulant",C13&gt;2,C13&lt;=4),151,IF(AND(B11="Mittellos und ambulant",C13&gt;1,C13&lt;=2),170,IF(AND(B11="Mittellos und ambulant",C13&gt;0,C13&lt;=1),208,IF(AND(B11="Mittellos und stationär",C13&gt;8,C13&lt;=1000),62,IF(AND(B11="Mittellos und stationär",C13&gt;4,C13&lt;=8),87,IF(AND(B11="Mittellos und stationär",C13&gt;2,C13&lt;=4),124,IF(AND(B11="Mittellos und stationär",C13&gt;1,C13&lt;=2),129,IF(AND(B11="Mittellos und stationär",C13&gt;0,C13&lt;=1),194,""))))))))))))))))))))),IF(Q1="Stufe B",IF(AND(B11="Auswahl treffen",C13&gt;=0,C13&lt;=1000),B11,IF(AND(B11="Vermögend und ambulant",C13&gt;8,C13&lt;=1000),161,IF(AND(B11="Vermögend und ambulant",C13&gt;4,C13&lt;=8),196,IF(AND(B11="Vermögend und ambulant",C13&gt;2,C13&lt;=4),238,IF(AND(B11="Vermögend und ambulant",C13&gt;1,C13&lt;=2),258,IF(AND(B11="Vermögend und ambulant",C13&gt;0,C13&lt;=1),370,IF(AND(B11="Vermögend und stationär",C13&gt;8,C13&lt;=1000),96,IF(AND(B11="Vermögend und stationär",C13&gt;4,C13&lt;=8),113,IF(AND(B11="Vermögend und stationär",C13&gt;2,C13&lt;=4),174,IF(AND(B11="Vermögend und stationär",C13&gt;1,C13&lt;=2),196,IF(AND(B11="Vermögend und stationär",C13&gt;0,C13&lt;=1),249,IF(AND(B11="Mittellos und ambulant",C13&gt;8,C13&lt;=1000),130,IF(AND(B11="Mittellos und ambulant",C13&gt;4,C13&lt;=8),151,IF(AND(B11="Mittellos und ambulant",C13&gt;2,C13&lt;=4),188,IF(AND(B11="Mittellos und ambulant",C13&gt;1,C13&lt;=2),211,IF(AND(B11="Mittellos und ambulant",C13&gt;0,C13&lt;=1),258,IF(AND(B11="Mittellos und stationär",C13&gt;8,C13&lt;=1000),78,IF(AND(B11="Mittellos und stationär",C13&gt;4,C13&lt;=8),107,IF(AND(B11="Mittellos und stationär",C13&gt;2,C13&lt;=4),154,IF(AND(B11="Mittellos und stationär",C13&gt;1,C13&lt;=2),158,IF(AND(B11="Mittellos und stationär",C13&gt;0,C13&lt;=1),241,""))))))))))))))))))))),IF(Q1="Stufe C",IF(AND(B11="Auswahl treffen",C13&gt;=0,C13&lt;=1000),B11,IF(AND(B11="Vermögend und ambulant",C13&gt;8,C13&lt;=1000),211,IF(AND(B11="Vermögend und ambulant",C13&gt;4,C13&lt;=8),257,IF(AND(B11="Vermögend und ambulant",C13&gt;2,C13&lt;=4),312,IF(AND(B11="Vermögend und ambulant",C13&gt;1,C13&lt;=2),339,IF(AND(B11="Vermögend und ambulant",C13&gt;0,C13&lt;=1),486,IF(AND(B11="Vermögend und stationär",C13&gt;8,C13&lt;=1000),127,IF(AND(B11="Vermögend und stationär",C13&gt;4,C13&lt;=8),149,IF(AND(B11="Vermögend und stationär",C13&gt;2,C13&lt;=4),229,IF(AND(B11="Vermögend und stationär",C13&gt;1,C13&lt;=2),257,IF(AND(B11="Vermögend und stationär",C13&gt;0,C13&lt;=1),327,IF(AND(B11="Mittellos und ambulant",C13&gt;8,C13&lt;=1000),171,IF(AND(B11="Mittellos und ambulant",C13&gt;4,C13&lt;=8),198,IF(AND(B11="Mittellos und ambulant",C13&gt;2,C13&lt;=4),246,IF(AND(B11="Mittellos und ambulant",C13&gt;1,C13&lt;=2),277,IF(AND(B11="Mittellos und ambulant",C13&gt;0,C13&lt;=1),339,IF(AND(B11="Mittellos und stationär",C13&gt;8,C13&lt;=1000),102,IF(AND(B11="Mittellos und stationär",C13&gt;4,C13&lt;=8),141,IF(AND(B11="Mittellos und stationär",C13&gt;2,C13&lt;=4),202,IF(AND(B11="Mittellos und stationär",C13&gt;1,C13&lt;=2),208,IF(AND(B11="Mittellos und stationär",C13&gt;0,C13&lt;=1),317,""))))))))))))))))))))),"")))</f>
        <v>339</v>
      </c>
      <c r="E28" s="1038"/>
      <c r="F28" s="322" t="s">
        <v>13</v>
      </c>
      <c r="G28" s="1039"/>
      <c r="H28" s="1040"/>
      <c r="I28" s="542"/>
      <c r="J28" s="542"/>
      <c r="K28" s="542"/>
      <c r="L28" s="1041"/>
      <c r="M28" s="1042"/>
      <c r="N28" s="1041"/>
      <c r="O28" s="1042"/>
      <c r="P28" s="543"/>
      <c r="Q28" s="155"/>
      <c r="R28" s="155"/>
      <c r="S28" s="452" t="str">
        <f>IF(AND(A10="Vermögend und ambulant",C13&gt;8,C13&lt;=1000),211,IF(AND(A10="Vermögend und ambulant",C13&gt;4,C13&lt;=8),257,IF(AND(A10="Vermögend und ambulant",C13&gt;2,C13&lt;=4),312,IF(AND(A10="Vermögend und ambulant",C13&gt;1,C13&lt;=2),339,IF(AND(A10="Vermögend und ambulant",C13&gt;0,C13&lt;=1),486,IF(AND(A10="Vermögend und stationär",C13&gt;8,C13&lt;=1000),127,IF(AND(A10="Vermögend und stationär",C13&gt;4,C13&lt;=8),149,IF(AND(A10="Vermögend und stationär",C13&gt;2,C13&lt;=4),229,IF(AND(A10="Vermögend und stationär",C13&gt;1,C13&lt;=2),257,IF(AND(A10="Vermögend und stationär",C13&gt;0,C13&lt;=1),327,IF(AND(A10="Mittellos und ambulant",C13&gt;8,C13&lt;=1000),171,IF(AND(A10="Mittellos und ambulant",C13&gt;4,C13&lt;=8),198,IF(AND(A10="Mittellos und ambulant",C13&gt;2,C13&lt;=4),246,IF(AND(A10="Mittellos und ambulant",C13&gt;1,C13&lt;=2),277,IF(AND(A10="Mittellos und ambulant",C13&gt;0,C13&lt;=1),339,IF(AND(A10="Mittellos und stationär",C13&gt;8,C13&lt;=1000),102,IF(AND(A10="Mittellos und stationär",C13&gt;4,C13&lt;=8),141,IF(AND(A10="Mittellos und stationär",C13&gt;2,C13&lt;=4),202,IF(AND(A10="Mittellos und stationär",C13&gt;1,C13&lt;=2),208,IF(AND(A10="Mittellos und stationär",C13&gt;0,C13&lt;=1),317,""))))))))))))))))))))</f>
        <v/>
      </c>
      <c r="T28" s="110"/>
    </row>
    <row r="29" spans="1:20" ht="24" hidden="1" customHeight="1">
      <c r="A29" s="1043"/>
      <c r="B29" s="1044"/>
      <c r="C29" s="1044"/>
      <c r="D29" s="1044"/>
      <c r="E29" s="1045"/>
      <c r="F29" s="379"/>
      <c r="G29" s="577"/>
      <c r="H29" s="565"/>
      <c r="I29" s="321"/>
      <c r="J29" s="544"/>
      <c r="K29" s="544"/>
      <c r="L29" s="1046"/>
      <c r="M29" s="1042"/>
      <c r="N29" s="1046"/>
      <c r="O29" s="1042"/>
      <c r="P29" s="545"/>
      <c r="Q29" s="161"/>
      <c r="R29" s="161"/>
      <c r="S29" s="453" t="str">
        <f>IF(AND(A10="Vermögend und ambulant",C13&gt;8,C13&lt;=1000),161,IF(AND(A10="Vermögend und ambulant",C13&gt;4,C13&lt;=8),196,IF(AND(A10="Vermögend und ambulant",C13&gt;2,C13&lt;=4),238,IF(AND(A10="Vermögend und ambulant",C13&gt;1,C13&lt;=2),258,IF(AND(A10="Vermögend und ambulant",C13&gt;0,C13&lt;=1),370,IF(AND(A10="Vermögend und stationär",C13&gt;8,C13&lt;=1000),96,IF(AND(A10="Vermögend und stationär",C13&gt;4,C13&lt;=8),113,IF(AND(A10="Vermögend und stationär",C13&gt;2,C13&lt;=4),174,IF(AND(A10="Vermögend und stationär",C13&gt;1,C13&lt;=2),196,IF(AND(A10="Vermögend und stationär",C13&gt;0,C13&lt;=1),249,IF(AND(A10="Mittellos und ambulant",C13&gt;8,C13&lt;=1000),130,IF(AND(A10="Mittellos und ambulant",C13&gt;4,C13&lt;=8),151,IF(AND(A10="Mittellos und ambulant",C13&gt;2,C13&lt;=4),188,IF(AND(A10="Mittellos und ambulant",C13&gt;1,C13&lt;=2),211,IF(AND(A10="Mittellos und ambulant",C13&gt;0,C13&lt;=1),258,IF(AND(A10="Mittellos und stationär",C13&gt;8,C13&lt;=1000),78,IF(AND(A10="Mittellos und stationär",C13&gt;4,C13&lt;=8),107,IF(AND(A10="Mittellos und stationär",C13&gt;2,C13&lt;=4),154,IF(AND(A10="Mittellos und stationär",C13&gt;1,C13&lt;=2),158,IF(AND(A10="Mittellos und stationär",C13&gt;0,C13&lt;=1),241,""))))))))))))))))))))</f>
        <v/>
      </c>
      <c r="T29" s="110"/>
    </row>
    <row r="30" spans="1:20" ht="11" customHeight="1">
      <c r="A30" s="1027"/>
      <c r="B30" s="1028"/>
      <c r="C30" s="1028"/>
      <c r="D30" s="1028"/>
      <c r="E30" s="1028"/>
      <c r="F30" s="552"/>
      <c r="G30" s="567"/>
      <c r="H30" s="578"/>
      <c r="I30" s="551"/>
      <c r="J30" s="553"/>
      <c r="K30" s="551"/>
      <c r="L30" s="1018"/>
      <c r="M30" s="1018"/>
      <c r="N30" s="1018"/>
      <c r="O30" s="1018"/>
      <c r="P30" s="551"/>
      <c r="Q30" s="384"/>
      <c r="R30" s="161"/>
      <c r="S30" s="453" t="str">
        <f>IF(AND(A10="Vermögend und ambulant",C13&gt;8,C13&lt;=1000),130,IF(AND(A10="Vermögend und ambulant",C13&gt;4,C13&lt;=8),158,IF(AND(A10="Vermögend und ambulant",C13&gt;2,C13&lt;=4),192,IF(AND(A10="Vermögend und ambulant",C13&gt;1,C13&lt;=2),208,IF(AND(A10="Vermögend und ambulant",C13&gt;0,C13&lt;=1),298,IF(AND(A10="Vermögend und stationär",C13&gt;8,C13&lt;=1000),78,IF(AND(A10="Vermögend und stationär",C13&gt;4,C13&lt;=8),91,IF(AND(A10="Vermögend und stationär",C13&gt;2,C13&lt;=4),140,IF(AND(A10="Vermögend und stationär",C13&gt;1,C13&lt;=2),158,IF(AND(A10="Vermögend und stationär",C13&gt;0,C13&lt;=1),200,IF(AND(A10="Mittellos und ambulant",C13&gt;8,C13&lt;=1000),105,IF(AND(A10="Mittellos und ambulant",C13&gt;4,C13&lt;=8),122,IF(AND(A10="Mittellos und ambulant",C13&gt;2,C13&lt;=4),151,IF(AND(A10="Mittellos und ambulant",C13&gt;1,C13&lt;=2),170,IF(AND(A10="Mittellos und ambulant",C13&gt;0,C13&lt;=1),208,IF(AND(A10="Mittellos und stationär",C13&gt;8,C13&lt;=1000),62,IF(AND(A10="Mittellos und stationär",C13&gt;4,C13&lt;=8),87,IF(AND(A10="Mittellos und stationär",C13&gt;2,C13&lt;=4),124,IF(AND(A10="Mittellos und stationär",C13&gt;1,C13&lt;=2),129,IF(AND(A10="Mittellos und stationär",C13&gt;0,C13&lt;=1),194,""))))))))))))))))))))</f>
        <v/>
      </c>
      <c r="T30" s="110"/>
    </row>
    <row r="31" spans="1:20" ht="2" hidden="1" customHeight="1">
      <c r="A31" s="1027"/>
      <c r="B31" s="1028"/>
      <c r="C31" s="1028"/>
      <c r="D31" s="1028"/>
      <c r="E31" s="1028"/>
      <c r="F31" s="552"/>
      <c r="G31" s="554"/>
      <c r="H31" s="555"/>
      <c r="I31" s="556"/>
      <c r="J31" s="557"/>
      <c r="K31" s="556"/>
      <c r="L31" s="1029"/>
      <c r="M31" s="1018"/>
      <c r="N31" s="1030"/>
      <c r="O31" s="1018"/>
      <c r="P31" s="558"/>
      <c r="Q31" s="161"/>
      <c r="R31" s="162"/>
      <c r="S31" s="454"/>
      <c r="T31" s="110"/>
    </row>
    <row r="32" spans="1:20" ht="4" hidden="1" customHeight="1">
      <c r="A32" s="1031"/>
      <c r="B32" s="1032"/>
      <c r="C32" s="1032"/>
      <c r="D32" s="1032"/>
      <c r="E32" s="1032"/>
      <c r="F32" s="1032"/>
      <c r="G32" s="1032"/>
      <c r="H32" s="1032"/>
      <c r="I32" s="1032"/>
      <c r="J32" s="1032"/>
      <c r="K32" s="1032"/>
      <c r="L32" s="1032"/>
      <c r="M32" s="1032"/>
      <c r="N32" s="1032"/>
      <c r="O32" s="1032"/>
      <c r="P32" s="560"/>
      <c r="Q32" s="1022"/>
      <c r="R32" s="922"/>
      <c r="S32" s="1023"/>
      <c r="T32" s="110"/>
    </row>
    <row r="33" spans="1:28" ht="23" customHeight="1">
      <c r="A33" s="1033" t="s">
        <v>33</v>
      </c>
      <c r="B33" s="1034"/>
      <c r="C33" s="1035"/>
      <c r="D33" s="1024">
        <f>IF(Q1="Stufe A",IF(AND(K11="Auswahl treffen",C13&gt;=0,C13&lt;=1000),K11,IF(AND(K11="Vermögend und ambulant",C13&gt;8,C13&lt;=1000),130,IF(AND(K11="Vermögend und ambulant",C13&gt;4,C13&lt;=8),158,IF(AND(K11="Vermögend und ambulant",C13&gt;2,C13&lt;=4),192,IF(AND(K11="Vermögend und ambulant",C13&gt;1,C13&lt;=2),208,IF(AND(K11="Vermögend und ambulant",C13&gt;0,C13&lt;=1),298,IF(AND(K11="Vermögend und stationär",C13&gt;8,C13&lt;=1000),78,IF(AND(K11="Vermögend und stationär",C13&gt;4,C13&lt;=8),91,IF(AND(K11="Vermögend und stationär",C13&gt;2,C13&lt;=4),140,IF(AND(K11="Vermögend und stationär",C13&gt;1,C13&lt;=2),158,IF(AND(K11="Vermögend und stationär",C13&gt;0,C13&lt;=1),200,IF(AND(K11="Mittellos und ambulant",C13&gt;8,C13&lt;=1000),105,IF(AND(K11="Mittellos und ambulant",C13&gt;4,C13&lt;=8),122,IF(AND(K11="Mittellos und ambulant",C13&gt;2,C13&lt;=4),151,IF(AND(K11="Mittellos und ambulant",C13&gt;1,C13&lt;=2),170,IF(AND(K11="Mittellos und ambulant",C13&gt;0,C13&lt;=1),208,IF(AND(K11="Mittellos und stationär",C13&gt;8,C13&lt;=1000),62,IF(AND(K11="Mittellos und stationär",C13&gt;4,C13&lt;=8),87,IF(AND(K11="Mittellos und stationär",C13&gt;2,C13&lt;=4),124,IF(AND(K11="Mittellos und stationär",C13&gt;1,C13&lt;=2),129,IF(AND(K11="Mittellos und stationär",C13&gt;0,C13&lt;=1),194,""))))))))))))))))))))),IF(Q1="Stufe B",IF(AND(K11="Auswahl treffen",C13&gt;=0,C13&lt;=1000),K11,IF(AND(K11="Vermögend und ambulant",C13&gt;8,C13&lt;=1000),161,IF(AND(K11="Vermögend und ambulant",C13&gt;4,C13&lt;=8),196,IF(AND(K11="Vermögend und ambulant",C13&gt;2,C13&lt;=4),238,IF(AND(K11="Vermögend und ambulant",C13&gt;1,C13&lt;=2),258,IF(AND(K11="Vermögend und ambulant",C13&gt;0,C13&lt;=1),370,IF(AND(K11="Vermögend und stationär",C13&gt;8,C13&lt;=1000),96,IF(AND(K11="Vermögend und stationär",C13&gt;4,C13&lt;=8),113,IF(AND(K11="Vermögend und stationär",C13&gt;2,C13&lt;=4),174,IF(AND(K11="Vermögend und stationär",C13&gt;1,C13&lt;=2),196,IF(AND(K11="Vermögend und stationär",C13&gt;0,C13&lt;=1),249,IF(AND(K11="Mittellos und ambulant",C13&gt;8,C13&lt;=1000),130,IF(AND(K11="Mittellos und ambulant",C13&gt;4,C13&lt;=8),151,IF(AND(K11="Mittellos und ambulant",C13&gt;2,C13&lt;=4),188,IF(AND(K11="Mittellos und ambulant",C13&gt;1,C13&lt;=2),211,IF(AND(K11="Mittellos und ambulant",C13&gt;0,C13&lt;=1),258,IF(AND(K11="Mittellos und stationär",C13&gt;8,C13&lt;=1000),78,IF(AND(K11="Mittellos und stationär",C13&gt;4,C13&lt;=8),107,IF(AND(K11="Mittellos und stationär",C13&gt;2,C13&lt;=4),154,IF(AND(K11="Mittellos und stationär",C13&gt;1,C13&lt;=2),158,IF(AND(K11="Mittellos und stationär",C13&gt;0,C13&lt;=1),241,""))))))))))))))))))))),IF(Q1="Stufe C",IF(AND(K11="Auswahl treffen",C13&gt;=0,C13&lt;=1000),K11,IF(AND(K11="Vermögend und ambulant",C13&gt;8,C13&lt;=1000),211,IF(AND(K11="Vermögend und ambulant",C13&gt;4,C13&lt;=8),257,IF(AND(K11="Vermögend und ambulant",C13&gt;2,C13&lt;=4),312,IF(AND(K11="Vermögend und ambulant",C13&gt;1,C13&lt;=2),339,IF(AND(K11="Vermögend und ambulant",C13&gt;0,C13&lt;=1),486,IF(AND(K11="Vermögend und stationär",C13&gt;8,C13&lt;=1000),127,IF(AND(K11="Vermögend und stationär",C13&gt;4,C13&lt;=8),149,IF(AND(K11="Vermögend und stationär",C13&gt;2,C13&lt;=4),229,IF(AND(K11="Vermögend und stationär",C13&gt;1,C13&lt;=2),257,IF(AND(K11="Vermögend und stationär",C13&gt;0,C13&lt;=1),327,IF(AND(K11="Mittellos und ambulant",C13&gt;8,C13&lt;=1000),171,IF(AND(K11="Mittellos und ambulant",C13&gt;4,C13&lt;=8),198,IF(AND(K11="Mittellos und ambulant",C13&gt;2,C13&lt;=4),246,IF(AND(K11="Mittellos und ambulant",C13&gt;1,C13&lt;=2),277,IF(AND(K11="Mittellos und ambulant",C13&gt;0,C13&lt;=1),339,IF(AND(K11="Mittellos und stationär",C13&gt;8,C13&lt;=1000),102,IF(AND(K11="Mittellos und stationär",C13&gt;4,C13&lt;=8),141,IF(AND(K11="Mittellos und stationär",C13&gt;2,C13&lt;=4),202,IF(AND(K11="Mittellos und stationär",C13&gt;1,C13&lt;=2),208,IF(AND(K11="Mittellos und stationär",C13&gt;0,C13&lt;=1),317,""))))))))))))))))))))),"")))</f>
        <v>486</v>
      </c>
      <c r="E33" s="1025"/>
      <c r="F33" s="322" t="s">
        <v>13</v>
      </c>
      <c r="G33" s="1026"/>
      <c r="H33" s="1026"/>
      <c r="I33" s="384"/>
      <c r="J33" s="384"/>
      <c r="K33" s="562"/>
      <c r="L33" s="1019"/>
      <c r="M33" s="1005"/>
      <c r="N33" s="1019"/>
      <c r="O33" s="1005"/>
      <c r="P33" s="564"/>
      <c r="Q33" s="161"/>
      <c r="R33" s="161"/>
      <c r="S33" s="454"/>
      <c r="T33" s="110"/>
    </row>
    <row r="34" spans="1:28" ht="6" hidden="1" customHeight="1">
      <c r="A34" s="1014"/>
      <c r="B34" s="1015"/>
      <c r="C34" s="1015"/>
      <c r="D34" s="1015"/>
      <c r="E34" s="1015"/>
      <c r="F34" s="561"/>
      <c r="G34" s="565"/>
      <c r="H34" s="154"/>
      <c r="I34" s="154"/>
      <c r="J34" s="566"/>
      <c r="K34" s="563"/>
      <c r="L34" s="1005"/>
      <c r="M34" s="1005"/>
      <c r="N34" s="1005"/>
      <c r="O34" s="1005"/>
      <c r="P34" s="564"/>
      <c r="Q34" s="161"/>
      <c r="R34" s="161"/>
      <c r="S34" s="454"/>
      <c r="T34" s="110"/>
    </row>
    <row r="35" spans="1:28" ht="20" customHeight="1">
      <c r="A35" s="1016"/>
      <c r="B35" s="1017"/>
      <c r="C35" s="1017"/>
      <c r="D35" s="1018"/>
      <c r="E35" s="1018"/>
      <c r="F35" s="552"/>
      <c r="G35" s="567"/>
      <c r="H35" s="568"/>
      <c r="I35" s="563"/>
      <c r="J35" s="563"/>
      <c r="K35" s="562"/>
      <c r="L35" s="1019"/>
      <c r="M35" s="1005"/>
      <c r="N35" s="1019"/>
      <c r="O35" s="1005"/>
      <c r="P35" s="562"/>
      <c r="Q35" s="161"/>
      <c r="R35" s="161"/>
      <c r="S35" s="455"/>
      <c r="T35" s="110"/>
    </row>
    <row r="36" spans="1:28" ht="8" customHeight="1">
      <c r="A36" s="1016"/>
      <c r="B36" s="1017"/>
      <c r="C36" s="1017"/>
      <c r="D36" s="1018"/>
      <c r="E36" s="1018"/>
      <c r="F36" s="552"/>
      <c r="G36" s="569"/>
      <c r="H36" s="570"/>
      <c r="I36" s="571"/>
      <c r="J36" s="568"/>
      <c r="K36" s="570"/>
      <c r="L36" s="1020"/>
      <c r="M36" s="1005"/>
      <c r="N36" s="1021"/>
      <c r="O36" s="1005"/>
      <c r="P36" s="572"/>
      <c r="Q36" s="573"/>
      <c r="R36" s="385"/>
      <c r="S36" s="456" t="str">
        <f>O13</f>
        <v/>
      </c>
      <c r="T36" s="110"/>
    </row>
    <row r="37" spans="1:28" ht="20" hidden="1" customHeight="1">
      <c r="A37" s="1000"/>
      <c r="B37" s="1001"/>
      <c r="C37" s="1001"/>
      <c r="D37" s="1001"/>
      <c r="E37" s="1001"/>
      <c r="F37" s="559"/>
      <c r="G37" s="161"/>
      <c r="H37" s="1002"/>
      <c r="I37" s="1003"/>
      <c r="J37" s="1003"/>
      <c r="K37" s="1004"/>
      <c r="L37" s="1005"/>
      <c r="M37" s="1005"/>
      <c r="N37" s="1005"/>
      <c r="O37" s="1005"/>
      <c r="P37" s="574"/>
      <c r="Q37" s="161"/>
      <c r="R37" s="161"/>
      <c r="S37" s="454"/>
      <c r="T37" s="110"/>
    </row>
    <row r="38" spans="1:28" ht="1" hidden="1" customHeight="1">
      <c r="A38" s="1006"/>
      <c r="B38" s="1007"/>
      <c r="C38" s="1007"/>
      <c r="D38" s="1007"/>
      <c r="E38" s="1007"/>
      <c r="F38" s="323"/>
      <c r="G38" s="575"/>
      <c r="H38" s="575"/>
      <c r="I38" s="1008"/>
      <c r="J38" s="1009"/>
      <c r="K38" s="1010"/>
      <c r="L38" s="1011"/>
      <c r="M38" s="1012"/>
      <c r="N38" s="1011"/>
      <c r="O38" s="1013"/>
      <c r="P38" s="576"/>
      <c r="Q38" s="386"/>
      <c r="R38" s="386"/>
      <c r="S38" s="457"/>
      <c r="T38" s="110"/>
    </row>
    <row r="39" spans="1:28" ht="101" customHeight="1">
      <c r="A39" s="990" t="s">
        <v>114</v>
      </c>
      <c r="B39" s="991"/>
      <c r="C39" s="991"/>
      <c r="D39" s="991"/>
      <c r="E39" s="991"/>
      <c r="F39" s="991"/>
      <c r="G39" s="991"/>
      <c r="H39" s="991"/>
      <c r="I39" s="991"/>
      <c r="J39" s="991"/>
      <c r="K39" s="991"/>
      <c r="L39" s="991"/>
      <c r="M39" s="991"/>
      <c r="N39" s="991"/>
      <c r="O39" s="991"/>
      <c r="P39" s="991"/>
      <c r="Q39" s="991"/>
      <c r="R39" s="991"/>
      <c r="S39" s="992"/>
      <c r="T39" s="110"/>
    </row>
    <row r="40" spans="1:28" ht="18" customHeight="1">
      <c r="A40" s="954" t="str">
        <f>Anleitung!A45</f>
        <v>Betreuungsbüro Max Mustermann</v>
      </c>
      <c r="B40" s="955"/>
      <c r="C40" s="955"/>
      <c r="D40" s="955"/>
      <c r="E40" s="955"/>
      <c r="F40" s="955"/>
      <c r="G40" s="955"/>
      <c r="H40" s="955"/>
      <c r="I40" s="955"/>
      <c r="J40" s="955"/>
      <c r="K40" s="955"/>
      <c r="L40" s="955"/>
      <c r="M40" s="955"/>
      <c r="N40" s="955"/>
      <c r="O40" s="955"/>
      <c r="P40" s="955"/>
      <c r="Q40" s="955"/>
      <c r="R40" s="955"/>
      <c r="S40" s="956"/>
      <c r="T40" s="110"/>
    </row>
    <row r="41" spans="1:28" ht="62" customHeight="1">
      <c r="A41" s="458" t="e" vm="2">
        <f>IF(Anleitung!A51&lt;&gt;"", Anleitung!A51, "")</f>
        <v>#VALUE!</v>
      </c>
      <c r="B41" s="394"/>
      <c r="C41" s="394"/>
      <c r="D41" s="388"/>
      <c r="E41" s="388"/>
      <c r="F41" s="388"/>
      <c r="G41" s="388"/>
      <c r="H41" s="388"/>
      <c r="I41" s="388"/>
      <c r="J41" s="388"/>
      <c r="K41" s="388"/>
      <c r="L41" s="388"/>
      <c r="M41" s="388"/>
      <c r="N41" s="388"/>
      <c r="O41" s="388"/>
      <c r="P41" s="388"/>
      <c r="Q41" s="388"/>
      <c r="R41" s="388"/>
      <c r="S41" s="459"/>
      <c r="T41" s="110"/>
    </row>
    <row r="42" spans="1:28" ht="20" customHeight="1" thickBot="1">
      <c r="A42" s="993" t="str">
        <f>Anleitung!A49</f>
        <v xml:space="preserve">Bankverbindung: Max Muster IBAN: DE50 1234 5678 9102 9876 54 BIC: BANK23 											</v>
      </c>
      <c r="B42" s="994"/>
      <c r="C42" s="994"/>
      <c r="D42" s="994"/>
      <c r="E42" s="994"/>
      <c r="F42" s="994"/>
      <c r="G42" s="994"/>
      <c r="H42" s="994"/>
      <c r="I42" s="994"/>
      <c r="J42" s="994"/>
      <c r="K42" s="994"/>
      <c r="L42" s="994"/>
      <c r="M42" s="994"/>
      <c r="N42" s="994"/>
      <c r="O42" s="994"/>
      <c r="P42" s="994"/>
      <c r="Q42" s="994"/>
      <c r="R42" s="994"/>
      <c r="S42" s="995"/>
      <c r="T42" s="110"/>
    </row>
    <row r="43" spans="1:28" s="439" customFormat="1" ht="12" customHeight="1">
      <c r="A43" s="441"/>
      <c r="B43" s="442"/>
      <c r="C43" s="442"/>
      <c r="D43" s="442"/>
      <c r="E43" s="442"/>
      <c r="F43" s="442"/>
      <c r="G43" s="442"/>
      <c r="H43" s="442"/>
      <c r="I43" s="442"/>
      <c r="J43" s="442"/>
      <c r="K43" s="442"/>
      <c r="L43" s="442"/>
      <c r="M43" s="442"/>
      <c r="N43" s="442"/>
      <c r="O43" s="442"/>
      <c r="P43" s="442"/>
      <c r="Q43" s="442"/>
      <c r="R43" s="442"/>
      <c r="S43" s="443"/>
      <c r="AA43" s="440"/>
    </row>
    <row r="44" spans="1:28" ht="35" customHeight="1" thickBot="1">
      <c r="A44" s="971" t="s">
        <v>156</v>
      </c>
      <c r="B44" s="971"/>
      <c r="C44" s="971"/>
      <c r="D44" s="971"/>
      <c r="E44" s="971"/>
      <c r="F44" s="971"/>
      <c r="G44" s="971"/>
      <c r="H44" s="971"/>
      <c r="I44" s="971"/>
      <c r="J44" s="971"/>
      <c r="K44" s="971"/>
      <c r="L44" s="971"/>
      <c r="M44" s="971"/>
      <c r="N44" s="971"/>
      <c r="O44" s="971"/>
      <c r="P44" s="971"/>
      <c r="Q44" s="971"/>
      <c r="R44" s="971"/>
      <c r="S44" s="971"/>
      <c r="X44" s="996" t="s">
        <v>155</v>
      </c>
      <c r="Y44" s="996"/>
      <c r="Z44" s="996"/>
      <c r="AA44" s="996"/>
      <c r="AB44" s="996"/>
    </row>
    <row r="45" spans="1:28" ht="20" customHeight="1" thickBot="1">
      <c r="A45" s="977" t="str">
        <f>IFERROR(IF(ISBLANK(VLOOKUP(F45,'Aktuelle Einnahmen'!A2:G104,3,0)),"",VLOOKUP(F45,'Aktuelle Einnahmen'!A2:G104,3,0)),"")</f>
        <v>Anderson</v>
      </c>
      <c r="B45" s="978"/>
      <c r="C45" s="978"/>
      <c r="D45" s="978"/>
      <c r="E45" s="979"/>
      <c r="F45" s="404">
        <v>1</v>
      </c>
      <c r="G45" s="984" t="str">
        <f>IFERROR(IF(ISBLANK(VLOOKUP(K45,'Aktuelle Einnahmen'!A2:G104,3,0)),"",VLOOKUP(K45,'Aktuelle Einnahmen'!A2:G104,3,0)),"")</f>
        <v/>
      </c>
      <c r="H45" s="985"/>
      <c r="I45" s="985"/>
      <c r="J45" s="986"/>
      <c r="K45" s="325">
        <v>34</v>
      </c>
      <c r="L45" s="997"/>
      <c r="M45" s="987" t="str">
        <f>IFERROR(IF(ISBLANK(VLOOKUP(S45,'Aktuelle Einnahmen'!A2:G104,3,0)),"",VLOOKUP(S45,'Aktuelle Einnahmen'!A2:G104,3,0)),"")</f>
        <v/>
      </c>
      <c r="N45" s="988"/>
      <c r="O45" s="988"/>
      <c r="P45" s="988"/>
      <c r="Q45" s="988"/>
      <c r="R45" s="989"/>
      <c r="S45" s="326">
        <v>67</v>
      </c>
      <c r="X45" s="433">
        <f>IFERROR(INDEX($F$32:$F$143, MATCH(Y45, $A$32:$A$143, 0)), "")</f>
        <v>1</v>
      </c>
      <c r="Y45" s="418" t="str" cm="1">
        <f t="array" ref="Y45:Y56">_xlfn._xlws.SORT(_xlfn._xlws.FILTER($A$45:$A$144, $A$45:$A$144&lt;&gt;""), 1, 1)</f>
        <v>Anderson</v>
      </c>
      <c r="Z45" s="419"/>
      <c r="AA45" s="435" t="str">
        <f>X95</f>
        <v/>
      </c>
      <c r="AB45" s="420" t="str">
        <f>IF(ISBLANK(Y95), "", Y95)</f>
        <v/>
      </c>
    </row>
    <row r="46" spans="1:28" ht="20" customHeight="1" thickBot="1">
      <c r="A46" s="977" t="str">
        <f>IFERROR(IF(ISBLANK(VLOOKUP(F46,'Aktuelle Einnahmen'!A3:G105,3,0)),"",VLOOKUP(F46,'Aktuelle Einnahmen'!A3:G105,3,0)),"")</f>
        <v>Brown</v>
      </c>
      <c r="B46" s="978"/>
      <c r="C46" s="978"/>
      <c r="D46" s="978"/>
      <c r="E46" s="979"/>
      <c r="F46" s="405">
        <v>2</v>
      </c>
      <c r="G46" s="984" t="str">
        <f>IFERROR(IF(ISBLANK(VLOOKUP(K46,'Aktuelle Einnahmen'!A3:G105,3,0)),"",VLOOKUP(K46,'Aktuelle Einnahmen'!A3:G105,3,0)),"")</f>
        <v/>
      </c>
      <c r="H46" s="985"/>
      <c r="I46" s="985"/>
      <c r="J46" s="986"/>
      <c r="K46" s="324">
        <v>35</v>
      </c>
      <c r="L46" s="998"/>
      <c r="M46" s="987" t="str">
        <f>IFERROR(IF(ISBLANK(VLOOKUP(S46,'Aktuelle Einnahmen'!A3:G105,3,0)),"",VLOOKUP(S46,'Aktuelle Einnahmen'!A3:G105,3,0)),"")</f>
        <v/>
      </c>
      <c r="N46" s="988"/>
      <c r="O46" s="988"/>
      <c r="P46" s="988"/>
      <c r="Q46" s="988"/>
      <c r="R46" s="989"/>
      <c r="S46" s="327">
        <v>68</v>
      </c>
      <c r="X46" s="433">
        <f t="shared" ref="X46:X109" si="0">IFERROR(INDEX($F$32:$F$143, MATCH(Y46, $A$32:$A$143, 0)), "")</f>
        <v>2</v>
      </c>
      <c r="Y46" s="408" t="str">
        <v>Brown</v>
      </c>
      <c r="Z46" s="409"/>
      <c r="AA46" s="436" t="str">
        <f t="shared" ref="AA46:AA93" si="1">X96</f>
        <v/>
      </c>
      <c r="AB46" s="421" t="str">
        <f t="shared" ref="AB46:AB93" si="2">IF(ISBLANK(Y96), "", Y96)</f>
        <v/>
      </c>
    </row>
    <row r="47" spans="1:28" ht="20" customHeight="1" thickBot="1">
      <c r="A47" s="977" t="str">
        <f>IFERROR(IF(ISBLANK(VLOOKUP(F47,'Aktuelle Einnahmen'!A4:G106,3,0)),"",VLOOKUP(F47,'Aktuelle Einnahmen'!A4:G106,3,0)),"")</f>
        <v>Carter</v>
      </c>
      <c r="B47" s="978"/>
      <c r="C47" s="978"/>
      <c r="D47" s="978"/>
      <c r="E47" s="979"/>
      <c r="F47" s="405">
        <v>3</v>
      </c>
      <c r="G47" s="984" t="str">
        <f>IFERROR(IF(ISBLANK(VLOOKUP(K47,'Aktuelle Einnahmen'!A4:G106,3,0)),"",VLOOKUP(K47,'Aktuelle Einnahmen'!A4:G106,3,0)),"")</f>
        <v/>
      </c>
      <c r="H47" s="985"/>
      <c r="I47" s="985"/>
      <c r="J47" s="986"/>
      <c r="K47" s="324">
        <v>36</v>
      </c>
      <c r="L47" s="998"/>
      <c r="M47" s="987" t="str">
        <f>IFERROR(IF(ISBLANK(VLOOKUP(S47,'Aktuelle Einnahmen'!A4:G106,3,0)),"",VLOOKUP(S47,'Aktuelle Einnahmen'!A4:G106,3,0)),"")</f>
        <v/>
      </c>
      <c r="N47" s="988"/>
      <c r="O47" s="988"/>
      <c r="P47" s="988"/>
      <c r="Q47" s="988"/>
      <c r="R47" s="989"/>
      <c r="S47" s="327">
        <v>69</v>
      </c>
      <c r="X47" s="433">
        <f t="shared" si="0"/>
        <v>3</v>
      </c>
      <c r="Y47" s="408" t="str">
        <v>Carter</v>
      </c>
      <c r="Z47" s="409"/>
      <c r="AA47" s="436" t="str">
        <f t="shared" si="1"/>
        <v/>
      </c>
      <c r="AB47" s="421" t="str">
        <f t="shared" si="2"/>
        <v/>
      </c>
    </row>
    <row r="48" spans="1:28" ht="20" customHeight="1" thickBot="1">
      <c r="A48" s="977" t="str">
        <f>IFERROR(IF(ISBLANK(VLOOKUP(F48,'Aktuelle Einnahmen'!A5:G107,3,0)),"",VLOOKUP(F48,'Aktuelle Einnahmen'!A5:G107,3,0)),"")</f>
        <v>Davis</v>
      </c>
      <c r="B48" s="978"/>
      <c r="C48" s="978"/>
      <c r="D48" s="978"/>
      <c r="E48" s="979"/>
      <c r="F48" s="405">
        <v>4</v>
      </c>
      <c r="G48" s="984" t="str">
        <f>IFERROR(IF(ISBLANK(VLOOKUP(K48,'Aktuelle Einnahmen'!A5:G107,3,0)),"",VLOOKUP(K48,'Aktuelle Einnahmen'!A5:G107,3,0)),"")</f>
        <v/>
      </c>
      <c r="H48" s="985"/>
      <c r="I48" s="985"/>
      <c r="J48" s="986"/>
      <c r="K48" s="324">
        <v>37</v>
      </c>
      <c r="L48" s="998"/>
      <c r="M48" s="987" t="str">
        <f>IFERROR(IF(ISBLANK(VLOOKUP(S48,'Aktuelle Einnahmen'!A5:G107,3,0)),"",VLOOKUP(S48,'Aktuelle Einnahmen'!A5:G107,3,0)),"")</f>
        <v/>
      </c>
      <c r="N48" s="988"/>
      <c r="O48" s="988"/>
      <c r="P48" s="988"/>
      <c r="Q48" s="988"/>
      <c r="R48" s="989"/>
      <c r="S48" s="327">
        <v>70</v>
      </c>
      <c r="X48" s="433">
        <f t="shared" si="0"/>
        <v>4</v>
      </c>
      <c r="Y48" s="408" t="str">
        <v>Davis</v>
      </c>
      <c r="Z48" s="409"/>
      <c r="AA48" s="436" t="str">
        <f t="shared" si="1"/>
        <v/>
      </c>
      <c r="AB48" s="421" t="str">
        <f t="shared" si="2"/>
        <v/>
      </c>
    </row>
    <row r="49" spans="1:28" ht="20" customHeight="1" thickBot="1">
      <c r="A49" s="977" t="str">
        <f>IFERROR(IF(ISBLANK(VLOOKUP(F49,'Aktuelle Einnahmen'!A6:G108,3,0)),"",VLOOKUP(F49,'Aktuelle Einnahmen'!A6:G108,3,0)),"")</f>
        <v>Evians</v>
      </c>
      <c r="B49" s="978"/>
      <c r="C49" s="978"/>
      <c r="D49" s="978"/>
      <c r="E49" s="979"/>
      <c r="F49" s="405">
        <v>5</v>
      </c>
      <c r="G49" s="984" t="str">
        <f>IFERROR(IF(ISBLANK(VLOOKUP(K49,'Aktuelle Einnahmen'!A6:G108,3,0)),"",VLOOKUP(K49,'Aktuelle Einnahmen'!A6:G108,3,0)),"")</f>
        <v/>
      </c>
      <c r="H49" s="985"/>
      <c r="I49" s="985"/>
      <c r="J49" s="986"/>
      <c r="K49" s="324">
        <v>38</v>
      </c>
      <c r="L49" s="998"/>
      <c r="M49" s="987" t="str">
        <f>IFERROR(IF(ISBLANK(VLOOKUP(S49,'Aktuelle Einnahmen'!A6:G108,3,0)),"",VLOOKUP(S49,'Aktuelle Einnahmen'!A6:G108,3,0)),"")</f>
        <v/>
      </c>
      <c r="N49" s="988"/>
      <c r="O49" s="988"/>
      <c r="P49" s="988"/>
      <c r="Q49" s="988"/>
      <c r="R49" s="989"/>
      <c r="S49" s="327">
        <v>71</v>
      </c>
      <c r="X49" s="433">
        <f t="shared" si="0"/>
        <v>5</v>
      </c>
      <c r="Y49" s="408" t="str">
        <v>Evians</v>
      </c>
      <c r="Z49" s="409"/>
      <c r="AA49" s="436" t="str">
        <f t="shared" si="1"/>
        <v/>
      </c>
      <c r="AB49" s="421" t="str">
        <f t="shared" si="2"/>
        <v/>
      </c>
    </row>
    <row r="50" spans="1:28" ht="20" customHeight="1" thickBot="1">
      <c r="A50" s="977" t="str">
        <f>IFERROR(IF(ISBLANK(VLOOKUP(F50,'Aktuelle Einnahmen'!A7:G109,3,0)),"",VLOOKUP(F50,'Aktuelle Einnahmen'!A7:G109,3,0)),"")</f>
        <v>Fischer</v>
      </c>
      <c r="B50" s="978"/>
      <c r="C50" s="978"/>
      <c r="D50" s="978"/>
      <c r="E50" s="979"/>
      <c r="F50" s="405">
        <v>6</v>
      </c>
      <c r="G50" s="984" t="str">
        <f>IFERROR(IF(ISBLANK(VLOOKUP(K50,'Aktuelle Einnahmen'!A7:G109,3,0)),"",VLOOKUP(K50,'Aktuelle Einnahmen'!A7:G109,3,0)),"")</f>
        <v/>
      </c>
      <c r="H50" s="985"/>
      <c r="I50" s="985"/>
      <c r="J50" s="986"/>
      <c r="K50" s="324">
        <v>39</v>
      </c>
      <c r="L50" s="998"/>
      <c r="M50" s="987" t="str">
        <f>IFERROR(IF(ISBLANK(VLOOKUP(S50,'Aktuelle Einnahmen'!A7:G109,3,0)),"",VLOOKUP(S50,'Aktuelle Einnahmen'!A7:G109,3,0)),"")</f>
        <v/>
      </c>
      <c r="N50" s="988"/>
      <c r="O50" s="988"/>
      <c r="P50" s="988"/>
      <c r="Q50" s="988"/>
      <c r="R50" s="989"/>
      <c r="S50" s="327">
        <v>72</v>
      </c>
      <c r="X50" s="433">
        <f t="shared" si="0"/>
        <v>6</v>
      </c>
      <c r="Y50" s="408" t="str">
        <v>Fischer</v>
      </c>
      <c r="Z50" s="409"/>
      <c r="AA50" s="436" t="str">
        <f t="shared" si="1"/>
        <v/>
      </c>
      <c r="AB50" s="421" t="str">
        <f t="shared" si="2"/>
        <v/>
      </c>
    </row>
    <row r="51" spans="1:28" ht="20" customHeight="1" thickBot="1">
      <c r="A51" s="977" t="str">
        <f>IFERROR(IF(ISBLANK(VLOOKUP(F51,'Aktuelle Einnahmen'!A8:G110,3,0)),"",VLOOKUP(F51,'Aktuelle Einnahmen'!A8:G110,3,0)),"")</f>
        <v>Gracia</v>
      </c>
      <c r="B51" s="978"/>
      <c r="C51" s="978"/>
      <c r="D51" s="978"/>
      <c r="E51" s="979"/>
      <c r="F51" s="405">
        <v>7</v>
      </c>
      <c r="G51" s="984" t="str">
        <f>IFERROR(IF(ISBLANK(VLOOKUP(K51,'Aktuelle Einnahmen'!A8:G110,3,0)),"",VLOOKUP(K51,'Aktuelle Einnahmen'!A8:G110,3,0)),"")</f>
        <v/>
      </c>
      <c r="H51" s="985"/>
      <c r="I51" s="985"/>
      <c r="J51" s="986"/>
      <c r="K51" s="324">
        <v>40</v>
      </c>
      <c r="L51" s="998"/>
      <c r="M51" s="987" t="str">
        <f>IFERROR(IF(ISBLANK(VLOOKUP(S51,'Aktuelle Einnahmen'!A8:G110,3,0)),"",VLOOKUP(S51,'Aktuelle Einnahmen'!A8:G110,3,0)),"")</f>
        <v/>
      </c>
      <c r="N51" s="988"/>
      <c r="O51" s="988"/>
      <c r="P51" s="988"/>
      <c r="Q51" s="988"/>
      <c r="R51" s="989"/>
      <c r="S51" s="327">
        <v>73</v>
      </c>
      <c r="X51" s="433">
        <f t="shared" si="0"/>
        <v>7</v>
      </c>
      <c r="Y51" s="408" t="str">
        <v>Gracia</v>
      </c>
      <c r="Z51" s="409"/>
      <c r="AA51" s="436" t="str">
        <f t="shared" si="1"/>
        <v/>
      </c>
      <c r="AB51" s="421" t="str">
        <f t="shared" si="2"/>
        <v/>
      </c>
    </row>
    <row r="52" spans="1:28" ht="20" customHeight="1" thickBot="1">
      <c r="A52" s="977" t="str">
        <f>IFERROR(IF(ISBLANK(VLOOKUP(F52,'Aktuelle Einnahmen'!A9:G111,3,0)),"",VLOOKUP(F52,'Aktuelle Einnahmen'!A9:G111,3,0)),"")</f>
        <v>Harris</v>
      </c>
      <c r="B52" s="978"/>
      <c r="C52" s="978"/>
      <c r="D52" s="978"/>
      <c r="E52" s="979"/>
      <c r="F52" s="405">
        <v>8</v>
      </c>
      <c r="G52" s="984" t="str">
        <f>IFERROR(IF(ISBLANK(VLOOKUP(K52,'Aktuelle Einnahmen'!A9:G111,3,0)),"",VLOOKUP(K52,'Aktuelle Einnahmen'!A9:G111,3,0)),"")</f>
        <v/>
      </c>
      <c r="H52" s="985"/>
      <c r="I52" s="985"/>
      <c r="J52" s="986"/>
      <c r="K52" s="324">
        <v>41</v>
      </c>
      <c r="L52" s="998"/>
      <c r="M52" s="987" t="str">
        <f>IFERROR(IF(ISBLANK(VLOOKUP(S52,'Aktuelle Einnahmen'!A9:G111,3,0)),"",VLOOKUP(S52,'Aktuelle Einnahmen'!A9:G111,3,0)),"")</f>
        <v/>
      </c>
      <c r="N52" s="988"/>
      <c r="O52" s="988"/>
      <c r="P52" s="988"/>
      <c r="Q52" s="988"/>
      <c r="R52" s="989"/>
      <c r="S52" s="327">
        <v>74</v>
      </c>
      <c r="X52" s="433">
        <f t="shared" si="0"/>
        <v>8</v>
      </c>
      <c r="Y52" s="408" t="str">
        <v>Harris</v>
      </c>
      <c r="Z52" s="409"/>
      <c r="AA52" s="436" t="str">
        <f t="shared" si="1"/>
        <v/>
      </c>
      <c r="AB52" s="421" t="str">
        <f t="shared" si="2"/>
        <v/>
      </c>
    </row>
    <row r="53" spans="1:28" ht="20" customHeight="1" thickBot="1">
      <c r="A53" s="977" t="str">
        <f>IFERROR(IF(ISBLANK(VLOOKUP(F53,'Aktuelle Einnahmen'!A10:G112,3,0)),"",VLOOKUP(F53,'Aktuelle Einnahmen'!A10:G112,3,0)),"")</f>
        <v>Irving</v>
      </c>
      <c r="B53" s="978"/>
      <c r="C53" s="978"/>
      <c r="D53" s="978"/>
      <c r="E53" s="979"/>
      <c r="F53" s="405">
        <v>9</v>
      </c>
      <c r="G53" s="984" t="str">
        <f>IFERROR(IF(ISBLANK(VLOOKUP(K53,'Aktuelle Einnahmen'!A10:G112,3,0)),"",VLOOKUP(K53,'Aktuelle Einnahmen'!A10:G112,3,0)),"")</f>
        <v/>
      </c>
      <c r="H53" s="985"/>
      <c r="I53" s="985"/>
      <c r="J53" s="986"/>
      <c r="K53" s="324">
        <v>42</v>
      </c>
      <c r="L53" s="998"/>
      <c r="M53" s="987" t="str">
        <f>IFERROR(IF(ISBLANK(VLOOKUP(S53,'Aktuelle Einnahmen'!A10:G112,3,0)),"",VLOOKUP(S53,'Aktuelle Einnahmen'!A10:G112,3,0)),"")</f>
        <v/>
      </c>
      <c r="N53" s="988"/>
      <c r="O53" s="988"/>
      <c r="P53" s="988"/>
      <c r="Q53" s="988"/>
      <c r="R53" s="989"/>
      <c r="S53" s="327">
        <v>75</v>
      </c>
      <c r="X53" s="433">
        <f t="shared" si="0"/>
        <v>9</v>
      </c>
      <c r="Y53" s="408" t="str">
        <v>Irving</v>
      </c>
      <c r="Z53" s="409"/>
      <c r="AA53" s="436" t="str">
        <f t="shared" si="1"/>
        <v/>
      </c>
      <c r="AB53" s="421" t="str">
        <f t="shared" si="2"/>
        <v/>
      </c>
    </row>
    <row r="54" spans="1:28" ht="20" customHeight="1" thickBot="1">
      <c r="A54" s="977" t="str">
        <f>IFERROR(IF(ISBLANK(VLOOKUP(F54,'Aktuelle Einnahmen'!A11:G113,3,0)),"",VLOOKUP(F54,'Aktuelle Einnahmen'!A11:G113,3,0)),"")</f>
        <v>Johnson</v>
      </c>
      <c r="B54" s="978"/>
      <c r="C54" s="978"/>
      <c r="D54" s="978"/>
      <c r="E54" s="979"/>
      <c r="F54" s="405">
        <v>10</v>
      </c>
      <c r="G54" s="984" t="str">
        <f>IFERROR(IF(ISBLANK(VLOOKUP(K54,'Aktuelle Einnahmen'!A11:G113,3,0)),"",VLOOKUP(K54,'Aktuelle Einnahmen'!A11:G113,3,0)),"")</f>
        <v/>
      </c>
      <c r="H54" s="985"/>
      <c r="I54" s="985"/>
      <c r="J54" s="986"/>
      <c r="K54" s="324">
        <v>43</v>
      </c>
      <c r="L54" s="998"/>
      <c r="M54" s="987" t="str">
        <f>IFERROR(IF(ISBLANK(VLOOKUP(S54,'Aktuelle Einnahmen'!A11:G113,3,0)),"",VLOOKUP(S54,'Aktuelle Einnahmen'!A11:G113,3,0)),"")</f>
        <v/>
      </c>
      <c r="N54" s="988"/>
      <c r="O54" s="988"/>
      <c r="P54" s="988"/>
      <c r="Q54" s="988"/>
      <c r="R54" s="989"/>
      <c r="S54" s="327">
        <v>76</v>
      </c>
      <c r="X54" s="433">
        <f t="shared" si="0"/>
        <v>10</v>
      </c>
      <c r="Y54" s="408" t="str">
        <v>Johnson</v>
      </c>
      <c r="Z54" s="409"/>
      <c r="AA54" s="436" t="str">
        <f t="shared" si="1"/>
        <v/>
      </c>
      <c r="AB54" s="421" t="str">
        <f t="shared" si="2"/>
        <v/>
      </c>
    </row>
    <row r="55" spans="1:28" ht="20" customHeight="1" thickBot="1">
      <c r="A55" s="977" t="str">
        <f>IFERROR(IF(ISBLANK(VLOOKUP(F55,'Aktuelle Einnahmen'!A12:G114,3,0)),"",VLOOKUP(F55,'Aktuelle Einnahmen'!A12:G114,3,0)),"")</f>
        <v>Kelly</v>
      </c>
      <c r="B55" s="978"/>
      <c r="C55" s="978"/>
      <c r="D55" s="978"/>
      <c r="E55" s="979"/>
      <c r="F55" s="405">
        <v>11</v>
      </c>
      <c r="G55" s="984" t="str">
        <f>IFERROR(IF(ISBLANK(VLOOKUP(K55,'Aktuelle Einnahmen'!A12:G114,3,0)),"",VLOOKUP(K55,'Aktuelle Einnahmen'!A12:G114,3,0)),"")</f>
        <v/>
      </c>
      <c r="H55" s="985"/>
      <c r="I55" s="985"/>
      <c r="J55" s="986"/>
      <c r="K55" s="324">
        <v>44</v>
      </c>
      <c r="L55" s="998"/>
      <c r="M55" s="987" t="str">
        <f>IFERROR(IF(ISBLANK(VLOOKUP(S55,'Aktuelle Einnahmen'!A12:G114,3,0)),"",VLOOKUP(S55,'Aktuelle Einnahmen'!A12:G114,3,0)),"")</f>
        <v/>
      </c>
      <c r="N55" s="988"/>
      <c r="O55" s="988"/>
      <c r="P55" s="988"/>
      <c r="Q55" s="988"/>
      <c r="R55" s="989"/>
      <c r="S55" s="327">
        <v>77</v>
      </c>
      <c r="X55" s="433">
        <f t="shared" si="0"/>
        <v>11</v>
      </c>
      <c r="Y55" s="408" t="str">
        <v>Kelly</v>
      </c>
      <c r="Z55" s="409"/>
      <c r="AA55" s="436" t="str">
        <f t="shared" si="1"/>
        <v/>
      </c>
      <c r="AB55" s="421" t="str">
        <f t="shared" si="2"/>
        <v/>
      </c>
    </row>
    <row r="56" spans="1:28" ht="20" customHeight="1" thickBot="1">
      <c r="A56" s="977" t="str">
        <f>IFERROR(IF(ISBLANK(VLOOKUP(F56,'Aktuelle Einnahmen'!A13:G115,3,0)),"",VLOOKUP(F56,'Aktuelle Einnahmen'!A13:G115,3,0)),"")</f>
        <v>Lopez</v>
      </c>
      <c r="B56" s="978"/>
      <c r="C56" s="978"/>
      <c r="D56" s="978"/>
      <c r="E56" s="979"/>
      <c r="F56" s="405">
        <v>12</v>
      </c>
      <c r="G56" s="984" t="str">
        <f>IFERROR(IF(ISBLANK(VLOOKUP(K56,'Aktuelle Einnahmen'!A13:G115,3,0)),"",VLOOKUP(K56,'Aktuelle Einnahmen'!A13:G115,3,0)),"")</f>
        <v/>
      </c>
      <c r="H56" s="985"/>
      <c r="I56" s="985"/>
      <c r="J56" s="986"/>
      <c r="K56" s="324">
        <v>45</v>
      </c>
      <c r="L56" s="998"/>
      <c r="M56" s="987" t="str">
        <f>IFERROR(IF(ISBLANK(VLOOKUP(S56,'Aktuelle Einnahmen'!A13:G115,3,0)),"",VLOOKUP(S56,'Aktuelle Einnahmen'!A13:G115,3,0)),"")</f>
        <v/>
      </c>
      <c r="N56" s="988"/>
      <c r="O56" s="988"/>
      <c r="P56" s="988"/>
      <c r="Q56" s="988"/>
      <c r="R56" s="989"/>
      <c r="S56" s="327">
        <v>78</v>
      </c>
      <c r="X56" s="433">
        <f t="shared" si="0"/>
        <v>12</v>
      </c>
      <c r="Y56" s="408" t="str">
        <v>Lopez</v>
      </c>
      <c r="Z56" s="409"/>
      <c r="AA56" s="436" t="str">
        <f t="shared" si="1"/>
        <v/>
      </c>
      <c r="AB56" s="421" t="str">
        <f t="shared" si="2"/>
        <v/>
      </c>
    </row>
    <row r="57" spans="1:28" ht="20" customHeight="1" thickBot="1">
      <c r="A57" s="977" t="str">
        <f>IFERROR(IF(ISBLANK(VLOOKUP(F57,'Aktuelle Einnahmen'!A14:G116,3,0)),"",VLOOKUP(F57,'Aktuelle Einnahmen'!A14:G116,3,0)),"")</f>
        <v/>
      </c>
      <c r="B57" s="978"/>
      <c r="C57" s="978"/>
      <c r="D57" s="978"/>
      <c r="E57" s="979"/>
      <c r="F57" s="405">
        <v>13</v>
      </c>
      <c r="G57" s="984" t="str">
        <f>IFERROR(IF(ISBLANK(VLOOKUP(K57,'Aktuelle Einnahmen'!A14:G116,3,0)),"",VLOOKUP(K57,'Aktuelle Einnahmen'!A14:G116,3,0)),"")</f>
        <v/>
      </c>
      <c r="H57" s="985"/>
      <c r="I57" s="985"/>
      <c r="J57" s="986"/>
      <c r="K57" s="324">
        <v>46</v>
      </c>
      <c r="L57" s="998"/>
      <c r="M57" s="987" t="str">
        <f>IFERROR(IF(ISBLANK(VLOOKUP(S57,'Aktuelle Einnahmen'!A14:G116,3,0)),"",VLOOKUP(S57,'Aktuelle Einnahmen'!A14:G116,3,0)),"")</f>
        <v/>
      </c>
      <c r="N57" s="988"/>
      <c r="O57" s="988"/>
      <c r="P57" s="988"/>
      <c r="Q57" s="988"/>
      <c r="R57" s="989"/>
      <c r="S57" s="327">
        <v>79</v>
      </c>
      <c r="X57" s="433" t="str">
        <f t="shared" si="0"/>
        <v/>
      </c>
      <c r="Y57" s="408"/>
      <c r="Z57" s="409"/>
      <c r="AA57" s="436" t="str">
        <f t="shared" si="1"/>
        <v/>
      </c>
      <c r="AB57" s="421" t="str">
        <f t="shared" si="2"/>
        <v/>
      </c>
    </row>
    <row r="58" spans="1:28" ht="20" customHeight="1" thickBot="1">
      <c r="A58" s="977" t="str">
        <f>IFERROR(IF(ISBLANK(VLOOKUP(F58,'Aktuelle Einnahmen'!A15:G117,3,0)),"",VLOOKUP(F58,'Aktuelle Einnahmen'!A15:G117,3,0)),"")</f>
        <v/>
      </c>
      <c r="B58" s="978"/>
      <c r="C58" s="978"/>
      <c r="D58" s="978"/>
      <c r="E58" s="979"/>
      <c r="F58" s="405">
        <v>14</v>
      </c>
      <c r="G58" s="984" t="str">
        <f>IFERROR(IF(ISBLANK(VLOOKUP(K58,'Aktuelle Einnahmen'!A15:G117,3,0)),"",VLOOKUP(K58,'Aktuelle Einnahmen'!A15:G117,3,0)),"")</f>
        <v/>
      </c>
      <c r="H58" s="985"/>
      <c r="I58" s="985"/>
      <c r="J58" s="986"/>
      <c r="K58" s="324">
        <v>47</v>
      </c>
      <c r="L58" s="998"/>
      <c r="M58" s="987" t="str">
        <f>IFERROR(IF(ISBLANK(VLOOKUP(S58,'Aktuelle Einnahmen'!A15:G117,3,0)),"",VLOOKUP(S58,'Aktuelle Einnahmen'!A15:G117,3,0)),"")</f>
        <v/>
      </c>
      <c r="N58" s="988"/>
      <c r="O58" s="988"/>
      <c r="P58" s="988"/>
      <c r="Q58" s="988"/>
      <c r="R58" s="989"/>
      <c r="S58" s="327">
        <v>80</v>
      </c>
      <c r="X58" s="433" t="str">
        <f t="shared" si="0"/>
        <v/>
      </c>
      <c r="Y58" s="408"/>
      <c r="Z58" s="409"/>
      <c r="AA58" s="436" t="str">
        <f t="shared" si="1"/>
        <v/>
      </c>
      <c r="AB58" s="421" t="str">
        <f t="shared" si="2"/>
        <v/>
      </c>
    </row>
    <row r="59" spans="1:28" ht="20" customHeight="1" thickBot="1">
      <c r="A59" s="977" t="str">
        <f>IFERROR(IF(ISBLANK(VLOOKUP(F59,'Aktuelle Einnahmen'!A16:G118,3,0)),"",VLOOKUP(F59,'Aktuelle Einnahmen'!A16:G118,3,0)),"")</f>
        <v/>
      </c>
      <c r="B59" s="978"/>
      <c r="C59" s="978"/>
      <c r="D59" s="978"/>
      <c r="E59" s="979"/>
      <c r="F59" s="405">
        <v>15</v>
      </c>
      <c r="G59" s="984" t="str">
        <f>IFERROR(IF(ISBLANK(VLOOKUP(K59,'Aktuelle Einnahmen'!A16:G118,3,0)),"",VLOOKUP(K59,'Aktuelle Einnahmen'!A16:G118,3,0)),"")</f>
        <v/>
      </c>
      <c r="H59" s="985"/>
      <c r="I59" s="985"/>
      <c r="J59" s="986"/>
      <c r="K59" s="324">
        <v>48</v>
      </c>
      <c r="L59" s="998"/>
      <c r="M59" s="987" t="str">
        <f>IFERROR(IF(ISBLANK(VLOOKUP(S59,'Aktuelle Einnahmen'!A16:G118,3,0)),"",VLOOKUP(S59,'Aktuelle Einnahmen'!A16:G118,3,0)),"")</f>
        <v/>
      </c>
      <c r="N59" s="988"/>
      <c r="O59" s="988"/>
      <c r="P59" s="988"/>
      <c r="Q59" s="988"/>
      <c r="R59" s="989"/>
      <c r="S59" s="327">
        <v>81</v>
      </c>
      <c r="X59" s="433" t="str">
        <f t="shared" si="0"/>
        <v/>
      </c>
      <c r="Y59" s="408"/>
      <c r="Z59" s="409"/>
      <c r="AA59" s="436" t="str">
        <f t="shared" si="1"/>
        <v/>
      </c>
      <c r="AB59" s="421" t="str">
        <f t="shared" si="2"/>
        <v/>
      </c>
    </row>
    <row r="60" spans="1:28" ht="20" customHeight="1" thickBot="1">
      <c r="A60" s="977" t="str">
        <f>IFERROR(IF(ISBLANK(VLOOKUP(F60,'Aktuelle Einnahmen'!A17:G119,3,0)),"",VLOOKUP(F60,'Aktuelle Einnahmen'!A17:G119,3,0)),"")</f>
        <v/>
      </c>
      <c r="B60" s="978"/>
      <c r="C60" s="978"/>
      <c r="D60" s="978"/>
      <c r="E60" s="979"/>
      <c r="F60" s="405">
        <v>16</v>
      </c>
      <c r="G60" s="984" t="str">
        <f>IFERROR(IF(ISBLANK(VLOOKUP(K60,'Aktuelle Einnahmen'!A17:G119,3,0)),"",VLOOKUP(K60,'Aktuelle Einnahmen'!A17:G119,3,0)),"")</f>
        <v/>
      </c>
      <c r="H60" s="985"/>
      <c r="I60" s="985"/>
      <c r="J60" s="986"/>
      <c r="K60" s="324">
        <v>49</v>
      </c>
      <c r="L60" s="998"/>
      <c r="M60" s="987" t="str">
        <f>IFERROR(IF(ISBLANK(VLOOKUP(S60,'Aktuelle Einnahmen'!A17:G119,3,0)),"",VLOOKUP(S60,'Aktuelle Einnahmen'!A17:G119,3,0)),"")</f>
        <v/>
      </c>
      <c r="N60" s="988"/>
      <c r="O60" s="988"/>
      <c r="P60" s="988"/>
      <c r="Q60" s="988"/>
      <c r="R60" s="989"/>
      <c r="S60" s="327">
        <v>82</v>
      </c>
      <c r="X60" s="433" t="str">
        <f t="shared" si="0"/>
        <v/>
      </c>
      <c r="Y60" s="408"/>
      <c r="Z60" s="409"/>
      <c r="AA60" s="436" t="str">
        <f t="shared" si="1"/>
        <v/>
      </c>
      <c r="AB60" s="421" t="str">
        <f t="shared" si="2"/>
        <v/>
      </c>
    </row>
    <row r="61" spans="1:28" ht="20" customHeight="1" thickBot="1">
      <c r="A61" s="977" t="str">
        <f>IFERROR(IF(ISBLANK(VLOOKUP(F61,'Aktuelle Einnahmen'!A18:G120,3,0)),"",VLOOKUP(F61,'Aktuelle Einnahmen'!A18:G120,3,0)),"")</f>
        <v/>
      </c>
      <c r="B61" s="978"/>
      <c r="C61" s="978"/>
      <c r="D61" s="978"/>
      <c r="E61" s="979"/>
      <c r="F61" s="405">
        <v>17</v>
      </c>
      <c r="G61" s="984" t="str">
        <f>IFERROR(IF(ISBLANK(VLOOKUP(K61,'Aktuelle Einnahmen'!A18:G120,3,0)),"",VLOOKUP(K61,'Aktuelle Einnahmen'!A18:G120,3,0)),"")</f>
        <v/>
      </c>
      <c r="H61" s="985"/>
      <c r="I61" s="985"/>
      <c r="J61" s="986"/>
      <c r="K61" s="324">
        <v>50</v>
      </c>
      <c r="L61" s="998"/>
      <c r="M61" s="987" t="str">
        <f>IFERROR(IF(ISBLANK(VLOOKUP(S61,'Aktuelle Einnahmen'!A18:G120,3,0)),"",VLOOKUP(S61,'Aktuelle Einnahmen'!A18:G120,3,0)),"")</f>
        <v/>
      </c>
      <c r="N61" s="988"/>
      <c r="O61" s="988"/>
      <c r="P61" s="988"/>
      <c r="Q61" s="988"/>
      <c r="R61" s="989"/>
      <c r="S61" s="327">
        <v>83</v>
      </c>
      <c r="X61" s="433" t="str">
        <f t="shared" si="0"/>
        <v/>
      </c>
      <c r="Y61" s="408"/>
      <c r="Z61" s="409"/>
      <c r="AA61" s="436" t="str">
        <f t="shared" si="1"/>
        <v/>
      </c>
      <c r="AB61" s="421" t="str">
        <f t="shared" si="2"/>
        <v/>
      </c>
    </row>
    <row r="62" spans="1:28" ht="20" customHeight="1" thickBot="1">
      <c r="A62" s="977" t="str">
        <f>IFERROR(IF(ISBLANK(VLOOKUP(F62,'Aktuelle Einnahmen'!A19:G121,3,0)),"",VLOOKUP(F62,'Aktuelle Einnahmen'!A19:G121,3,0)),"")</f>
        <v/>
      </c>
      <c r="B62" s="978"/>
      <c r="C62" s="978"/>
      <c r="D62" s="978"/>
      <c r="E62" s="979"/>
      <c r="F62" s="405">
        <v>18</v>
      </c>
      <c r="G62" s="984" t="str">
        <f>IFERROR(IF(ISBLANK(VLOOKUP(K62,'Aktuelle Einnahmen'!A19:G121,3,0)),"",VLOOKUP(K62,'Aktuelle Einnahmen'!A19:G121,3,0)),"")</f>
        <v/>
      </c>
      <c r="H62" s="985"/>
      <c r="I62" s="985"/>
      <c r="J62" s="986"/>
      <c r="K62" s="324">
        <v>51</v>
      </c>
      <c r="L62" s="998"/>
      <c r="M62" s="987" t="str">
        <f>IFERROR(IF(ISBLANK(VLOOKUP(S62,'Aktuelle Einnahmen'!A19:G121,3,0)),"",VLOOKUP(S62,'Aktuelle Einnahmen'!A19:G121,3,0)),"")</f>
        <v/>
      </c>
      <c r="N62" s="988"/>
      <c r="O62" s="988"/>
      <c r="P62" s="988"/>
      <c r="Q62" s="988"/>
      <c r="R62" s="989"/>
      <c r="S62" s="327">
        <v>84</v>
      </c>
      <c r="X62" s="433" t="str">
        <f t="shared" si="0"/>
        <v/>
      </c>
      <c r="Y62" s="408"/>
      <c r="Z62" s="409"/>
      <c r="AA62" s="436" t="str">
        <f t="shared" si="1"/>
        <v/>
      </c>
      <c r="AB62" s="421" t="str">
        <f t="shared" si="2"/>
        <v/>
      </c>
    </row>
    <row r="63" spans="1:28" ht="20" customHeight="1" thickBot="1">
      <c r="A63" s="977" t="str">
        <f>IFERROR(IF(ISBLANK(VLOOKUP(F63,'Aktuelle Einnahmen'!A20:G122,3,0)),"",VLOOKUP(F63,'Aktuelle Einnahmen'!A20:G122,3,0)),"")</f>
        <v/>
      </c>
      <c r="B63" s="978"/>
      <c r="C63" s="978"/>
      <c r="D63" s="978"/>
      <c r="E63" s="979"/>
      <c r="F63" s="405">
        <v>19</v>
      </c>
      <c r="G63" s="984" t="str">
        <f>IFERROR(IF(ISBLANK(VLOOKUP(K63,'Aktuelle Einnahmen'!A20:G122,3,0)),"",VLOOKUP(K63,'Aktuelle Einnahmen'!A20:G122,3,0)),"")</f>
        <v/>
      </c>
      <c r="H63" s="985"/>
      <c r="I63" s="985"/>
      <c r="J63" s="986"/>
      <c r="K63" s="324">
        <v>52</v>
      </c>
      <c r="L63" s="998"/>
      <c r="M63" s="987" t="str">
        <f>IFERROR(IF(ISBLANK(VLOOKUP(S63,'Aktuelle Einnahmen'!A20:G122,3,0)),"",VLOOKUP(S63,'Aktuelle Einnahmen'!A20:G122,3,0)),"")</f>
        <v/>
      </c>
      <c r="N63" s="988"/>
      <c r="O63" s="988"/>
      <c r="P63" s="988"/>
      <c r="Q63" s="988"/>
      <c r="R63" s="989"/>
      <c r="S63" s="327">
        <v>85</v>
      </c>
      <c r="X63" s="433" t="str">
        <f t="shared" si="0"/>
        <v/>
      </c>
      <c r="Y63" s="408"/>
      <c r="Z63" s="409"/>
      <c r="AA63" s="436" t="str">
        <f t="shared" si="1"/>
        <v/>
      </c>
      <c r="AB63" s="421" t="str">
        <f t="shared" si="2"/>
        <v/>
      </c>
    </row>
    <row r="64" spans="1:28" ht="20" customHeight="1" thickBot="1">
      <c r="A64" s="977" t="str">
        <f>IFERROR(IF(ISBLANK(VLOOKUP(F64,'Aktuelle Einnahmen'!A21:G123,3,0)),"",VLOOKUP(F64,'Aktuelle Einnahmen'!A21:G123,3,0)),"")</f>
        <v/>
      </c>
      <c r="B64" s="978"/>
      <c r="C64" s="978"/>
      <c r="D64" s="978"/>
      <c r="E64" s="979"/>
      <c r="F64" s="405">
        <v>20</v>
      </c>
      <c r="G64" s="984" t="str">
        <f>IFERROR(IF(ISBLANK(VLOOKUP(K64,'Aktuelle Einnahmen'!A21:G123,3,0)),"",VLOOKUP(K64,'Aktuelle Einnahmen'!A21:G123,3,0)),"")</f>
        <v/>
      </c>
      <c r="H64" s="985"/>
      <c r="I64" s="985"/>
      <c r="J64" s="986"/>
      <c r="K64" s="324">
        <v>53</v>
      </c>
      <c r="L64" s="998"/>
      <c r="M64" s="987" t="str">
        <f>IFERROR(IF(ISBLANK(VLOOKUP(S64,'Aktuelle Einnahmen'!A21:G123,3,0)),"",VLOOKUP(S64,'Aktuelle Einnahmen'!A21:G123,3,0)),"")</f>
        <v/>
      </c>
      <c r="N64" s="988"/>
      <c r="O64" s="988"/>
      <c r="P64" s="988"/>
      <c r="Q64" s="988"/>
      <c r="R64" s="989"/>
      <c r="S64" s="327">
        <v>86</v>
      </c>
      <c r="X64" s="433" t="str">
        <f t="shared" si="0"/>
        <v/>
      </c>
      <c r="Y64" s="408"/>
      <c r="Z64" s="409"/>
      <c r="AA64" s="436" t="str">
        <f t="shared" si="1"/>
        <v/>
      </c>
      <c r="AB64" s="421" t="str">
        <f t="shared" si="2"/>
        <v/>
      </c>
    </row>
    <row r="65" spans="1:28" ht="20" customHeight="1" thickBot="1">
      <c r="A65" s="977" t="str">
        <f>IFERROR(IF(ISBLANK(VLOOKUP(F65,'Aktuelle Einnahmen'!A22:G124,3,0)),"",VLOOKUP(F65,'Aktuelle Einnahmen'!A22:G124,3,0)),"")</f>
        <v/>
      </c>
      <c r="B65" s="978"/>
      <c r="C65" s="978"/>
      <c r="D65" s="978"/>
      <c r="E65" s="979"/>
      <c r="F65" s="405">
        <v>21</v>
      </c>
      <c r="G65" s="984" t="str">
        <f>IFERROR(IF(ISBLANK(VLOOKUP(K65,'Aktuelle Einnahmen'!A22:G124,3,0)),"",VLOOKUP(K65,'Aktuelle Einnahmen'!A22:G124,3,0)),"")</f>
        <v/>
      </c>
      <c r="H65" s="985"/>
      <c r="I65" s="985"/>
      <c r="J65" s="986"/>
      <c r="K65" s="324">
        <v>54</v>
      </c>
      <c r="L65" s="998"/>
      <c r="M65" s="987" t="str">
        <f>IFERROR(IF(ISBLANK(VLOOKUP(S65,'Aktuelle Einnahmen'!A22:G124,3,0)),"",VLOOKUP(S65,'Aktuelle Einnahmen'!A22:G124,3,0)),"")</f>
        <v/>
      </c>
      <c r="N65" s="988"/>
      <c r="O65" s="988"/>
      <c r="P65" s="988"/>
      <c r="Q65" s="988"/>
      <c r="R65" s="989"/>
      <c r="S65" s="327">
        <v>87</v>
      </c>
      <c r="X65" s="433" t="str">
        <f t="shared" si="0"/>
        <v/>
      </c>
      <c r="Y65" s="408"/>
      <c r="Z65" s="409"/>
      <c r="AA65" s="436" t="str">
        <f t="shared" si="1"/>
        <v/>
      </c>
      <c r="AB65" s="421" t="str">
        <f t="shared" si="2"/>
        <v/>
      </c>
    </row>
    <row r="66" spans="1:28" ht="20" customHeight="1" thickBot="1">
      <c r="A66" s="977" t="str">
        <f>IFERROR(IF(ISBLANK(VLOOKUP(F66,'Aktuelle Einnahmen'!A23:G125,3,0)),"",VLOOKUP(F66,'Aktuelle Einnahmen'!A23:G125,3,0)),"")</f>
        <v/>
      </c>
      <c r="B66" s="978"/>
      <c r="C66" s="978"/>
      <c r="D66" s="978"/>
      <c r="E66" s="979"/>
      <c r="F66" s="405">
        <v>22</v>
      </c>
      <c r="G66" s="984" t="str">
        <f>IFERROR(IF(ISBLANK(VLOOKUP(K66,'Aktuelle Einnahmen'!A23:G125,3,0)),"",VLOOKUP(K66,'Aktuelle Einnahmen'!A23:G125,3,0)),"")</f>
        <v/>
      </c>
      <c r="H66" s="985"/>
      <c r="I66" s="985"/>
      <c r="J66" s="986"/>
      <c r="K66" s="324">
        <v>55</v>
      </c>
      <c r="L66" s="998"/>
      <c r="M66" s="987" t="str">
        <f>IFERROR(IF(ISBLANK(VLOOKUP(S66,'Aktuelle Einnahmen'!A23:G125,3,0)),"",VLOOKUP(S66,'Aktuelle Einnahmen'!A23:G125,3,0)),"")</f>
        <v/>
      </c>
      <c r="N66" s="988"/>
      <c r="O66" s="988"/>
      <c r="P66" s="988"/>
      <c r="Q66" s="988"/>
      <c r="R66" s="989"/>
      <c r="S66" s="327">
        <v>88</v>
      </c>
      <c r="X66" s="433" t="str">
        <f t="shared" si="0"/>
        <v/>
      </c>
      <c r="Y66" s="408"/>
      <c r="Z66" s="409"/>
      <c r="AA66" s="436" t="str">
        <f t="shared" si="1"/>
        <v/>
      </c>
      <c r="AB66" s="421" t="str">
        <f t="shared" si="2"/>
        <v/>
      </c>
    </row>
    <row r="67" spans="1:28" ht="20" customHeight="1" thickBot="1">
      <c r="A67" s="977" t="str">
        <f>IFERROR(IF(ISBLANK(VLOOKUP(F67,'Aktuelle Einnahmen'!A24:G126,3,0)),"",VLOOKUP(F67,'Aktuelle Einnahmen'!A24:G126,3,0)),"")</f>
        <v/>
      </c>
      <c r="B67" s="978"/>
      <c r="C67" s="978"/>
      <c r="D67" s="978"/>
      <c r="E67" s="979"/>
      <c r="F67" s="405">
        <v>23</v>
      </c>
      <c r="G67" s="984" t="str">
        <f>IFERROR(IF(ISBLANK(VLOOKUP(K67,'Aktuelle Einnahmen'!A24:G126,3,0)),"",VLOOKUP(K67,'Aktuelle Einnahmen'!A24:G126,3,0)),"")</f>
        <v/>
      </c>
      <c r="H67" s="985"/>
      <c r="I67" s="985"/>
      <c r="J67" s="986"/>
      <c r="K67" s="324">
        <v>56</v>
      </c>
      <c r="L67" s="998"/>
      <c r="M67" s="987" t="str">
        <f>IFERROR(IF(ISBLANK(VLOOKUP(S67,'Aktuelle Einnahmen'!A24:G126,3,0)),"",VLOOKUP(S67,'Aktuelle Einnahmen'!A24:G126,3,0)),"")</f>
        <v/>
      </c>
      <c r="N67" s="988"/>
      <c r="O67" s="988"/>
      <c r="P67" s="988"/>
      <c r="Q67" s="988"/>
      <c r="R67" s="989"/>
      <c r="S67" s="327">
        <v>89</v>
      </c>
      <c r="X67" s="433" t="str">
        <f t="shared" si="0"/>
        <v/>
      </c>
      <c r="Y67" s="408"/>
      <c r="Z67" s="409"/>
      <c r="AA67" s="436" t="str">
        <f t="shared" si="1"/>
        <v/>
      </c>
      <c r="AB67" s="421" t="str">
        <f t="shared" si="2"/>
        <v/>
      </c>
    </row>
    <row r="68" spans="1:28" ht="20" customHeight="1" thickBot="1">
      <c r="A68" s="977" t="str">
        <f>IFERROR(IF(ISBLANK(VLOOKUP(F68,'Aktuelle Einnahmen'!A25:G127,3,0)),"",VLOOKUP(F68,'Aktuelle Einnahmen'!A25:G127,3,0)),"")</f>
        <v/>
      </c>
      <c r="B68" s="978"/>
      <c r="C68" s="978"/>
      <c r="D68" s="978"/>
      <c r="E68" s="979"/>
      <c r="F68" s="405">
        <v>24</v>
      </c>
      <c r="G68" s="984" t="str">
        <f>IFERROR(IF(ISBLANK(VLOOKUP(K68,'Aktuelle Einnahmen'!A25:G127,3,0)),"",VLOOKUP(K68,'Aktuelle Einnahmen'!A25:G127,3,0)),"")</f>
        <v/>
      </c>
      <c r="H68" s="985"/>
      <c r="I68" s="985"/>
      <c r="J68" s="986"/>
      <c r="K68" s="324">
        <v>57</v>
      </c>
      <c r="L68" s="998"/>
      <c r="M68" s="987" t="str">
        <f>IFERROR(IF(ISBLANK(VLOOKUP(S68,'Aktuelle Einnahmen'!A25:G127,3,0)),"",VLOOKUP(S68,'Aktuelle Einnahmen'!A25:G127,3,0)),"")</f>
        <v/>
      </c>
      <c r="N68" s="988"/>
      <c r="O68" s="988"/>
      <c r="P68" s="988"/>
      <c r="Q68" s="988"/>
      <c r="R68" s="989"/>
      <c r="S68" s="327">
        <v>90</v>
      </c>
      <c r="X68" s="433" t="str">
        <f t="shared" si="0"/>
        <v/>
      </c>
      <c r="Y68" s="408"/>
      <c r="Z68" s="409"/>
      <c r="AA68" s="436" t="str">
        <f t="shared" si="1"/>
        <v/>
      </c>
      <c r="AB68" s="421" t="str">
        <f t="shared" si="2"/>
        <v/>
      </c>
    </row>
    <row r="69" spans="1:28" ht="20" customHeight="1" thickBot="1">
      <c r="A69" s="977" t="str">
        <f>IFERROR(IF(ISBLANK(VLOOKUP(F69,'Aktuelle Einnahmen'!A26:G128,3,0)),"",VLOOKUP(F69,'Aktuelle Einnahmen'!A26:G128,3,0)),"")</f>
        <v/>
      </c>
      <c r="B69" s="978"/>
      <c r="C69" s="978"/>
      <c r="D69" s="978"/>
      <c r="E69" s="979"/>
      <c r="F69" s="405">
        <v>25</v>
      </c>
      <c r="G69" s="984" t="str">
        <f>IFERROR(IF(ISBLANK(VLOOKUP(K69,'Aktuelle Einnahmen'!A26:G128,3,0)),"",VLOOKUP(K69,'Aktuelle Einnahmen'!A26:G128,3,0)),"")</f>
        <v/>
      </c>
      <c r="H69" s="985"/>
      <c r="I69" s="985"/>
      <c r="J69" s="986"/>
      <c r="K69" s="324">
        <v>58</v>
      </c>
      <c r="L69" s="998"/>
      <c r="M69" s="987" t="str">
        <f>IFERROR(IF(ISBLANK(VLOOKUP(S69,'Aktuelle Einnahmen'!A26:G128,3,0)),"",VLOOKUP(S69,'Aktuelle Einnahmen'!A26:G128,3,0)),"")</f>
        <v/>
      </c>
      <c r="N69" s="988"/>
      <c r="O69" s="988"/>
      <c r="P69" s="988"/>
      <c r="Q69" s="988"/>
      <c r="R69" s="989"/>
      <c r="S69" s="327">
        <v>91</v>
      </c>
      <c r="U69" s="110"/>
      <c r="X69" s="433" t="str">
        <f t="shared" si="0"/>
        <v/>
      </c>
      <c r="Y69" s="408"/>
      <c r="Z69" s="409"/>
      <c r="AA69" s="436" t="str">
        <f t="shared" si="1"/>
        <v/>
      </c>
      <c r="AB69" s="421" t="str">
        <f t="shared" si="2"/>
        <v/>
      </c>
    </row>
    <row r="70" spans="1:28" ht="20" customHeight="1" thickBot="1">
      <c r="A70" s="977" t="str">
        <f>IFERROR(IF(ISBLANK(VLOOKUP(F70,'Aktuelle Einnahmen'!A27:G129,3,0)),"",VLOOKUP(F70,'Aktuelle Einnahmen'!A27:G129,3,0)),"")</f>
        <v/>
      </c>
      <c r="B70" s="978"/>
      <c r="C70" s="978"/>
      <c r="D70" s="978"/>
      <c r="E70" s="979"/>
      <c r="F70" s="405">
        <v>26</v>
      </c>
      <c r="G70" s="984" t="str">
        <f>IFERROR(IF(ISBLANK(VLOOKUP(K70,'Aktuelle Einnahmen'!A27:G129,3,0)),"",VLOOKUP(K70,'Aktuelle Einnahmen'!A27:G129,3,0)),"")</f>
        <v/>
      </c>
      <c r="H70" s="985"/>
      <c r="I70" s="985"/>
      <c r="J70" s="986"/>
      <c r="K70" s="324">
        <v>59</v>
      </c>
      <c r="L70" s="998"/>
      <c r="M70" s="987" t="str">
        <f>IFERROR(IF(ISBLANK(VLOOKUP(S70,'Aktuelle Einnahmen'!A27:G129,3,0)),"",VLOOKUP(S70,'Aktuelle Einnahmen'!A27:G129,3,0)),"")</f>
        <v/>
      </c>
      <c r="N70" s="988"/>
      <c r="O70" s="988"/>
      <c r="P70" s="988"/>
      <c r="Q70" s="988"/>
      <c r="R70" s="989"/>
      <c r="S70" s="327">
        <v>92</v>
      </c>
      <c r="X70" s="433" t="str">
        <f t="shared" si="0"/>
        <v/>
      </c>
      <c r="Y70" s="408"/>
      <c r="Z70" s="409"/>
      <c r="AA70" s="436" t="str">
        <f t="shared" si="1"/>
        <v/>
      </c>
      <c r="AB70" s="421" t="str">
        <f t="shared" si="2"/>
        <v/>
      </c>
    </row>
    <row r="71" spans="1:28" ht="20" customHeight="1" thickBot="1">
      <c r="A71" s="977" t="str">
        <f>IFERROR(IF(ISBLANK(VLOOKUP(F71,'Aktuelle Einnahmen'!A28:G130,3,0)),"",VLOOKUP(F71,'Aktuelle Einnahmen'!A28:G130,3,0)),"")</f>
        <v/>
      </c>
      <c r="B71" s="978"/>
      <c r="C71" s="978"/>
      <c r="D71" s="978"/>
      <c r="E71" s="979"/>
      <c r="F71" s="405">
        <v>27</v>
      </c>
      <c r="G71" s="984" t="str">
        <f>IFERROR(IF(ISBLANK(VLOOKUP(K71,'Aktuelle Einnahmen'!A28:G130,3,0)),"",VLOOKUP(K71,'Aktuelle Einnahmen'!A28:G130,3,0)),"")</f>
        <v/>
      </c>
      <c r="H71" s="985"/>
      <c r="I71" s="985"/>
      <c r="J71" s="986"/>
      <c r="K71" s="324">
        <v>60</v>
      </c>
      <c r="L71" s="998"/>
      <c r="M71" s="987" t="str">
        <f>IFERROR(IF(ISBLANK(VLOOKUP(S71,'Aktuelle Einnahmen'!A28:G130,3,0)),"",VLOOKUP(S71,'Aktuelle Einnahmen'!A28:G130,3,0)),"")</f>
        <v/>
      </c>
      <c r="N71" s="988"/>
      <c r="O71" s="988"/>
      <c r="P71" s="988"/>
      <c r="Q71" s="988"/>
      <c r="R71" s="989"/>
      <c r="S71" s="327">
        <v>93</v>
      </c>
      <c r="X71" s="433" t="str">
        <f t="shared" si="0"/>
        <v/>
      </c>
      <c r="Y71" s="408"/>
      <c r="Z71" s="409"/>
      <c r="AA71" s="436" t="str">
        <f t="shared" si="1"/>
        <v/>
      </c>
      <c r="AB71" s="421" t="str">
        <f t="shared" si="2"/>
        <v/>
      </c>
    </row>
    <row r="72" spans="1:28" ht="20" customHeight="1" thickBot="1">
      <c r="A72" s="977" t="str">
        <f>IFERROR(IF(ISBLANK(VLOOKUP(F72,'Aktuelle Einnahmen'!A29:G131,3,0)),"",VLOOKUP(F72,'Aktuelle Einnahmen'!A29:G131,3,0)),"")</f>
        <v/>
      </c>
      <c r="B72" s="978"/>
      <c r="C72" s="978"/>
      <c r="D72" s="978"/>
      <c r="E72" s="979"/>
      <c r="F72" s="405">
        <v>28</v>
      </c>
      <c r="G72" s="984" t="str">
        <f>IFERROR(IF(ISBLANK(VLOOKUP(K72,'Aktuelle Einnahmen'!A29:G131,3,0)),"",VLOOKUP(K72,'Aktuelle Einnahmen'!A29:G131,3,0)),"")</f>
        <v/>
      </c>
      <c r="H72" s="985"/>
      <c r="I72" s="985"/>
      <c r="J72" s="986"/>
      <c r="K72" s="324">
        <v>61</v>
      </c>
      <c r="L72" s="998"/>
      <c r="M72" s="987" t="str">
        <f>IFERROR(IF(ISBLANK(VLOOKUP(S72,'Aktuelle Einnahmen'!A29:G131,3,0)),"",VLOOKUP(S72,'Aktuelle Einnahmen'!A29:G131,3,0)),"")</f>
        <v/>
      </c>
      <c r="N72" s="988"/>
      <c r="O72" s="988"/>
      <c r="P72" s="988"/>
      <c r="Q72" s="988"/>
      <c r="R72" s="989"/>
      <c r="S72" s="327">
        <v>94</v>
      </c>
      <c r="X72" s="433" t="str">
        <f t="shared" si="0"/>
        <v/>
      </c>
      <c r="Y72" s="408"/>
      <c r="Z72" s="409"/>
      <c r="AA72" s="436" t="str">
        <f t="shared" si="1"/>
        <v/>
      </c>
      <c r="AB72" s="421" t="str">
        <f t="shared" si="2"/>
        <v/>
      </c>
    </row>
    <row r="73" spans="1:28" ht="20" customHeight="1" thickBot="1">
      <c r="A73" s="977" t="str">
        <f>IFERROR(IF(ISBLANK(VLOOKUP(F73,'Aktuelle Einnahmen'!A30:G132,3,0)),"",VLOOKUP(F73,'Aktuelle Einnahmen'!A30:G132,3,0)),"")</f>
        <v/>
      </c>
      <c r="B73" s="978"/>
      <c r="C73" s="978"/>
      <c r="D73" s="978"/>
      <c r="E73" s="979"/>
      <c r="F73" s="405">
        <v>29</v>
      </c>
      <c r="G73" s="984" t="str">
        <f>IFERROR(IF(ISBLANK(VLOOKUP(K73,'Aktuelle Einnahmen'!A30:G132,3,0)),"",VLOOKUP(K73,'Aktuelle Einnahmen'!A30:G132,3,0)),"")</f>
        <v/>
      </c>
      <c r="H73" s="985"/>
      <c r="I73" s="985"/>
      <c r="J73" s="986"/>
      <c r="K73" s="324">
        <v>62</v>
      </c>
      <c r="L73" s="998"/>
      <c r="M73" s="987" t="str">
        <f>IFERROR(IF(ISBLANK(VLOOKUP(S73,'Aktuelle Einnahmen'!A30:G132,3,0)),"",VLOOKUP(S73,'Aktuelle Einnahmen'!A30:G132,3,0)),"")</f>
        <v/>
      </c>
      <c r="N73" s="988"/>
      <c r="O73" s="988"/>
      <c r="P73" s="988"/>
      <c r="Q73" s="988"/>
      <c r="R73" s="989"/>
      <c r="S73" s="327">
        <v>95</v>
      </c>
      <c r="X73" s="433" t="str">
        <f t="shared" si="0"/>
        <v/>
      </c>
      <c r="Y73" s="408"/>
      <c r="Z73" s="409"/>
      <c r="AA73" s="436" t="str">
        <f t="shared" si="1"/>
        <v/>
      </c>
      <c r="AB73" s="421" t="str">
        <f t="shared" si="2"/>
        <v/>
      </c>
    </row>
    <row r="74" spans="1:28" ht="20" customHeight="1" thickBot="1">
      <c r="A74" s="977" t="str">
        <f>IFERROR(IF(ISBLANK(VLOOKUP(F74,'Aktuelle Einnahmen'!A31:G133,3,0)),"",VLOOKUP(F74,'Aktuelle Einnahmen'!A31:G133,3,0)),"")</f>
        <v/>
      </c>
      <c r="B74" s="978"/>
      <c r="C74" s="978"/>
      <c r="D74" s="978"/>
      <c r="E74" s="979"/>
      <c r="F74" s="405">
        <v>30</v>
      </c>
      <c r="G74" s="984" t="str">
        <f>IFERROR(IF(ISBLANK(VLOOKUP(K74,'Aktuelle Einnahmen'!A31:G133,3,0)),"",VLOOKUP(K74,'Aktuelle Einnahmen'!A31:G133,3,0)),"")</f>
        <v/>
      </c>
      <c r="H74" s="985"/>
      <c r="I74" s="985"/>
      <c r="J74" s="986"/>
      <c r="K74" s="324">
        <v>63</v>
      </c>
      <c r="L74" s="998"/>
      <c r="M74" s="987" t="str">
        <f>IFERROR(IF(ISBLANK(VLOOKUP(S74,'Aktuelle Einnahmen'!A31:G133,3,0)),"",VLOOKUP(S74,'Aktuelle Einnahmen'!A31:G133,3,0)),"")</f>
        <v/>
      </c>
      <c r="N74" s="988"/>
      <c r="O74" s="988"/>
      <c r="P74" s="988"/>
      <c r="Q74" s="988"/>
      <c r="R74" s="989"/>
      <c r="S74" s="327">
        <v>96</v>
      </c>
      <c r="X74" s="433" t="str">
        <f t="shared" si="0"/>
        <v/>
      </c>
      <c r="Y74" s="408"/>
      <c r="Z74" s="409"/>
      <c r="AA74" s="436" t="str">
        <f t="shared" si="1"/>
        <v/>
      </c>
      <c r="AB74" s="421" t="str">
        <f t="shared" si="2"/>
        <v/>
      </c>
    </row>
    <row r="75" spans="1:28" ht="20" customHeight="1" thickBot="1">
      <c r="A75" s="977" t="str">
        <f>IFERROR(IF(ISBLANK(VLOOKUP(F75,'Aktuelle Einnahmen'!A32:G134,3,0)),"",VLOOKUP(F75,'Aktuelle Einnahmen'!A32:G134,3,0)),"")</f>
        <v/>
      </c>
      <c r="B75" s="978"/>
      <c r="C75" s="978"/>
      <c r="D75" s="978"/>
      <c r="E75" s="979"/>
      <c r="F75" s="405">
        <v>31</v>
      </c>
      <c r="G75" s="984" t="str">
        <f>IFERROR(IF(ISBLANK(VLOOKUP(K75,'Aktuelle Einnahmen'!A32:G134,3,0)),"",VLOOKUP(K75,'Aktuelle Einnahmen'!A32:G134,3,0)),"")</f>
        <v/>
      </c>
      <c r="H75" s="985"/>
      <c r="I75" s="985"/>
      <c r="J75" s="986"/>
      <c r="K75" s="324">
        <v>64</v>
      </c>
      <c r="L75" s="998"/>
      <c r="M75" s="987" t="str">
        <f>IFERROR(IF(ISBLANK(VLOOKUP(S75,'Aktuelle Einnahmen'!A32:G134,3,0)),"",VLOOKUP(S75,'Aktuelle Einnahmen'!A32:G134,3,0)),"")</f>
        <v/>
      </c>
      <c r="N75" s="988"/>
      <c r="O75" s="988"/>
      <c r="P75" s="988"/>
      <c r="Q75" s="988"/>
      <c r="R75" s="989"/>
      <c r="S75" s="327">
        <v>97</v>
      </c>
      <c r="X75" s="433" t="str">
        <f t="shared" si="0"/>
        <v/>
      </c>
      <c r="Y75" s="408"/>
      <c r="Z75" s="409"/>
      <c r="AA75" s="436" t="str">
        <f t="shared" si="1"/>
        <v/>
      </c>
      <c r="AB75" s="421" t="str">
        <f t="shared" si="2"/>
        <v/>
      </c>
    </row>
    <row r="76" spans="1:28" ht="20" customHeight="1" thickBot="1">
      <c r="A76" s="977" t="str">
        <f>IFERROR(IF(ISBLANK(VLOOKUP(F76,'Aktuelle Einnahmen'!A33:G135,3,0)),"",VLOOKUP(F76,'Aktuelle Einnahmen'!A33:G135,3,0)),"")</f>
        <v/>
      </c>
      <c r="B76" s="978"/>
      <c r="C76" s="978"/>
      <c r="D76" s="978"/>
      <c r="E76" s="979"/>
      <c r="F76" s="405">
        <v>32</v>
      </c>
      <c r="G76" s="984" t="str">
        <f>IFERROR(IF(ISBLANK(VLOOKUP(K76,'Aktuelle Einnahmen'!A33:G135,3,0)),"",VLOOKUP(K76,'Aktuelle Einnahmen'!A33:G135,3,0)),"")</f>
        <v/>
      </c>
      <c r="H76" s="985"/>
      <c r="I76" s="985"/>
      <c r="J76" s="986"/>
      <c r="K76" s="324">
        <v>65</v>
      </c>
      <c r="L76" s="998"/>
      <c r="M76" s="987" t="str">
        <f>IFERROR(IF(ISBLANK(VLOOKUP(S76,'Aktuelle Einnahmen'!A33:G135,3,0)),"",VLOOKUP(S76,'Aktuelle Einnahmen'!A33:G135,3,0)),"")</f>
        <v/>
      </c>
      <c r="N76" s="988"/>
      <c r="O76" s="988"/>
      <c r="P76" s="988"/>
      <c r="Q76" s="988"/>
      <c r="R76" s="989"/>
      <c r="S76" s="327">
        <v>98</v>
      </c>
      <c r="X76" s="433" t="str">
        <f t="shared" si="0"/>
        <v/>
      </c>
      <c r="Y76" s="408"/>
      <c r="Z76" s="409"/>
      <c r="AA76" s="436" t="str">
        <f t="shared" si="1"/>
        <v/>
      </c>
      <c r="AB76" s="421" t="str">
        <f t="shared" si="2"/>
        <v/>
      </c>
    </row>
    <row r="77" spans="1:28" ht="20" customHeight="1" thickBot="1">
      <c r="A77" s="977" t="str">
        <f>IFERROR(IF(ISBLANK(VLOOKUP(F77,'Aktuelle Einnahmen'!A34:G136,3,0)),"",VLOOKUP(F77,'Aktuelle Einnahmen'!A34:G136,3,0)),"")</f>
        <v/>
      </c>
      <c r="B77" s="978"/>
      <c r="C77" s="978"/>
      <c r="D77" s="978"/>
      <c r="E77" s="979"/>
      <c r="F77" s="406">
        <v>33</v>
      </c>
      <c r="G77" s="980" t="str">
        <f>IFERROR(IF(ISBLANK(VLOOKUP(K77,'Aktuelle Einnahmen'!A34:G136,3,0)),"",VLOOKUP(K77,'Aktuelle Einnahmen'!A34:G136,3,0)),"")</f>
        <v/>
      </c>
      <c r="H77" s="978"/>
      <c r="I77" s="978"/>
      <c r="J77" s="979"/>
      <c r="K77" s="328">
        <v>66</v>
      </c>
      <c r="L77" s="999"/>
      <c r="M77" s="981" t="str">
        <f>IFERROR(IF(ISBLANK(VLOOKUP(S77,'Aktuelle Einnahmen'!A34:G136,3,0)),"",VLOOKUP(S77,'Aktuelle Einnahmen'!A34:G136,3,0)),"")</f>
        <v/>
      </c>
      <c r="N77" s="982"/>
      <c r="O77" s="982"/>
      <c r="P77" s="982"/>
      <c r="Q77" s="982"/>
      <c r="R77" s="983"/>
      <c r="S77" s="329">
        <v>99</v>
      </c>
      <c r="X77" s="433" t="str">
        <f t="shared" si="0"/>
        <v/>
      </c>
      <c r="Y77" s="408"/>
      <c r="Z77" s="409"/>
      <c r="AA77" s="436" t="str">
        <f t="shared" si="1"/>
        <v/>
      </c>
      <c r="AB77" s="421" t="str">
        <f t="shared" si="2"/>
        <v/>
      </c>
    </row>
    <row r="78" spans="1:28" ht="20" customHeight="1" thickBot="1">
      <c r="A78" s="976" t="str">
        <f>IFERROR(IF(ISBLANK(VLOOKUP(F78,'Aktuelle Einnahmen'!A35:G137,3,0)),"",VLOOKUP(F78,'Aktuelle Einnahmen'!A35:G137,3,0)),"")</f>
        <v/>
      </c>
      <c r="B78" s="976"/>
      <c r="C78" s="976"/>
      <c r="D78" s="976"/>
      <c r="E78" s="976"/>
      <c r="F78" s="417">
        <v>34</v>
      </c>
      <c r="G78" s="399"/>
      <c r="H78" s="110"/>
      <c r="I78" s="110"/>
      <c r="J78" s="110"/>
      <c r="K78" s="110"/>
      <c r="L78" s="110"/>
      <c r="M78" s="110"/>
      <c r="N78" s="110"/>
      <c r="O78" s="110"/>
      <c r="P78" s="110"/>
      <c r="Q78" s="110"/>
      <c r="R78" s="110"/>
      <c r="S78" s="110"/>
      <c r="X78" s="433" t="str">
        <f t="shared" si="0"/>
        <v/>
      </c>
      <c r="Y78" s="408"/>
      <c r="Z78" s="410"/>
      <c r="AA78" s="436" t="str">
        <f t="shared" si="1"/>
        <v/>
      </c>
      <c r="AB78" s="421" t="str">
        <f t="shared" si="2"/>
        <v/>
      </c>
    </row>
    <row r="79" spans="1:28" ht="20" customHeight="1" thickBot="1">
      <c r="A79" s="976" t="str">
        <f>IFERROR(IF(ISBLANK(VLOOKUP(F79,'Aktuelle Einnahmen'!A36:G138,3,0)),"",VLOOKUP(F79,'Aktuelle Einnahmen'!A36:G138,3,0)),"")</f>
        <v/>
      </c>
      <c r="B79" s="976"/>
      <c r="C79" s="976"/>
      <c r="D79" s="976"/>
      <c r="E79" s="976"/>
      <c r="F79" s="417">
        <v>35</v>
      </c>
      <c r="G79" s="399"/>
      <c r="X79" s="433" t="str">
        <f t="shared" si="0"/>
        <v/>
      </c>
      <c r="Y79" s="408"/>
      <c r="Z79" s="410"/>
      <c r="AA79" s="436" t="str">
        <f t="shared" si="1"/>
        <v/>
      </c>
      <c r="AB79" s="421" t="str">
        <f t="shared" si="2"/>
        <v/>
      </c>
    </row>
    <row r="80" spans="1:28" ht="20" customHeight="1" thickBot="1">
      <c r="A80" s="976" t="str">
        <f>IFERROR(IF(ISBLANK(VLOOKUP(F80,'Aktuelle Einnahmen'!A37:G139,3,0)),"",VLOOKUP(F80,'Aktuelle Einnahmen'!A37:G139,3,0)),"")</f>
        <v/>
      </c>
      <c r="B80" s="976"/>
      <c r="C80" s="976"/>
      <c r="D80" s="976"/>
      <c r="E80" s="976"/>
      <c r="F80" s="417">
        <v>36</v>
      </c>
      <c r="G80" s="399"/>
      <c r="X80" s="433" t="str">
        <f t="shared" si="0"/>
        <v/>
      </c>
      <c r="Y80" s="408"/>
      <c r="Z80" s="410"/>
      <c r="AA80" s="436" t="str">
        <f t="shared" si="1"/>
        <v/>
      </c>
      <c r="AB80" s="421" t="str">
        <f t="shared" si="2"/>
        <v/>
      </c>
    </row>
    <row r="81" spans="1:28" ht="20" customHeight="1" thickBot="1">
      <c r="A81" s="976" t="str">
        <f>IFERROR(IF(ISBLANK(VLOOKUP(F81,'Aktuelle Einnahmen'!A38:G140,3,0)),"",VLOOKUP(F81,'Aktuelle Einnahmen'!A38:G140,3,0)),"")</f>
        <v/>
      </c>
      <c r="B81" s="976"/>
      <c r="C81" s="976"/>
      <c r="D81" s="976"/>
      <c r="E81" s="976"/>
      <c r="F81" s="417">
        <v>37</v>
      </c>
      <c r="G81" s="399"/>
      <c r="X81" s="433" t="str">
        <f t="shared" si="0"/>
        <v/>
      </c>
      <c r="Y81" s="408"/>
      <c r="Z81" s="410"/>
      <c r="AA81" s="436" t="str">
        <f t="shared" si="1"/>
        <v/>
      </c>
      <c r="AB81" s="421" t="str">
        <f t="shared" si="2"/>
        <v/>
      </c>
    </row>
    <row r="82" spans="1:28" ht="20" customHeight="1" thickBot="1">
      <c r="A82" s="976" t="str">
        <f>IFERROR(IF(ISBLANK(VLOOKUP(F82,'Aktuelle Einnahmen'!A39:G141,3,0)),"",VLOOKUP(F82,'Aktuelle Einnahmen'!A39:G141,3,0)),"")</f>
        <v/>
      </c>
      <c r="B82" s="976"/>
      <c r="C82" s="976"/>
      <c r="D82" s="976"/>
      <c r="E82" s="976"/>
      <c r="F82" s="417">
        <v>38</v>
      </c>
      <c r="G82" s="399"/>
      <c r="X82" s="433" t="str">
        <f t="shared" si="0"/>
        <v/>
      </c>
      <c r="Y82" s="408"/>
      <c r="Z82" s="410"/>
      <c r="AA82" s="436" t="str">
        <f t="shared" si="1"/>
        <v/>
      </c>
      <c r="AB82" s="421" t="str">
        <f t="shared" si="2"/>
        <v/>
      </c>
    </row>
    <row r="83" spans="1:28" ht="20" customHeight="1" thickBot="1">
      <c r="A83" s="976" t="str">
        <f>IFERROR(IF(ISBLANK(VLOOKUP(F83,'Aktuelle Einnahmen'!A40:G142,3,0)),"",VLOOKUP(F83,'Aktuelle Einnahmen'!A40:G142,3,0)),"")</f>
        <v/>
      </c>
      <c r="B83" s="976"/>
      <c r="C83" s="976"/>
      <c r="D83" s="976"/>
      <c r="E83" s="976"/>
      <c r="F83" s="417">
        <v>39</v>
      </c>
      <c r="G83" s="399"/>
      <c r="X83" s="433" t="str">
        <f t="shared" si="0"/>
        <v/>
      </c>
      <c r="Y83" s="408"/>
      <c r="Z83" s="410"/>
      <c r="AA83" s="436" t="str">
        <f t="shared" si="1"/>
        <v/>
      </c>
      <c r="AB83" s="421" t="str">
        <f t="shared" si="2"/>
        <v/>
      </c>
    </row>
    <row r="84" spans="1:28" ht="20" customHeight="1" thickBot="1">
      <c r="A84" s="976" t="str">
        <f>IFERROR(IF(ISBLANK(VLOOKUP(F84,'Aktuelle Einnahmen'!A41:G143,3,0)),"",VLOOKUP(F84,'Aktuelle Einnahmen'!A41:G143,3,0)),"")</f>
        <v/>
      </c>
      <c r="B84" s="976"/>
      <c r="C84" s="976"/>
      <c r="D84" s="976"/>
      <c r="E84" s="976"/>
      <c r="F84" s="417">
        <v>40</v>
      </c>
      <c r="G84" s="399"/>
      <c r="X84" s="433" t="str">
        <f t="shared" si="0"/>
        <v/>
      </c>
      <c r="Y84" s="408"/>
      <c r="Z84" s="410"/>
      <c r="AA84" s="436" t="str">
        <f t="shared" si="1"/>
        <v/>
      </c>
      <c r="AB84" s="421" t="str">
        <f t="shared" si="2"/>
        <v/>
      </c>
    </row>
    <row r="85" spans="1:28" ht="20" customHeight="1" thickBot="1">
      <c r="A85" s="976" t="str">
        <f>IFERROR(IF(ISBLANK(VLOOKUP(F85,'Aktuelle Einnahmen'!A42:G144,3,0)),"",VLOOKUP(F85,'Aktuelle Einnahmen'!A42:G144,3,0)),"")</f>
        <v/>
      </c>
      <c r="B85" s="976"/>
      <c r="C85" s="976"/>
      <c r="D85" s="976"/>
      <c r="E85" s="976"/>
      <c r="F85" s="417">
        <v>41</v>
      </c>
      <c r="G85" s="399"/>
      <c r="X85" s="433" t="str">
        <f t="shared" si="0"/>
        <v/>
      </c>
      <c r="Y85" s="408"/>
      <c r="Z85" s="410"/>
      <c r="AA85" s="436" t="str">
        <f t="shared" si="1"/>
        <v/>
      </c>
      <c r="AB85" s="421" t="str">
        <f t="shared" si="2"/>
        <v/>
      </c>
    </row>
    <row r="86" spans="1:28" ht="20" customHeight="1" thickBot="1">
      <c r="A86" s="976" t="str">
        <f>IFERROR(IF(ISBLANK(VLOOKUP(F86,'Aktuelle Einnahmen'!A43:G145,3,0)),"",VLOOKUP(F86,'Aktuelle Einnahmen'!A43:G145,3,0)),"")</f>
        <v/>
      </c>
      <c r="B86" s="976"/>
      <c r="C86" s="976"/>
      <c r="D86" s="976"/>
      <c r="E86" s="976"/>
      <c r="F86" s="417">
        <v>42</v>
      </c>
      <c r="G86" s="399"/>
      <c r="X86" s="433" t="str">
        <f t="shared" si="0"/>
        <v/>
      </c>
      <c r="Y86" s="408"/>
      <c r="Z86" s="410"/>
      <c r="AA86" s="436" t="str">
        <f t="shared" si="1"/>
        <v/>
      </c>
      <c r="AB86" s="421" t="str">
        <f t="shared" si="2"/>
        <v/>
      </c>
    </row>
    <row r="87" spans="1:28" ht="20" customHeight="1" thickBot="1">
      <c r="A87" s="976" t="str">
        <f>IFERROR(IF(ISBLANK(VLOOKUP(F87,'Aktuelle Einnahmen'!A44:G146,3,0)),"",VLOOKUP(F87,'Aktuelle Einnahmen'!A44:G146,3,0)),"")</f>
        <v/>
      </c>
      <c r="B87" s="976"/>
      <c r="C87" s="976"/>
      <c r="D87" s="976"/>
      <c r="E87" s="976"/>
      <c r="F87" s="417">
        <v>43</v>
      </c>
      <c r="G87" s="399"/>
      <c r="X87" s="433" t="str">
        <f t="shared" si="0"/>
        <v/>
      </c>
      <c r="Y87" s="408"/>
      <c r="Z87" s="410"/>
      <c r="AA87" s="436" t="str">
        <f t="shared" si="1"/>
        <v/>
      </c>
      <c r="AB87" s="421" t="str">
        <f t="shared" si="2"/>
        <v/>
      </c>
    </row>
    <row r="88" spans="1:28" ht="20" customHeight="1" thickBot="1">
      <c r="A88" s="976" t="str">
        <f>IFERROR(IF(ISBLANK(VLOOKUP(F88,'Aktuelle Einnahmen'!A45:G147,3,0)),"",VLOOKUP(F88,'Aktuelle Einnahmen'!A45:G147,3,0)),"")</f>
        <v/>
      </c>
      <c r="B88" s="976"/>
      <c r="C88" s="976"/>
      <c r="D88" s="976"/>
      <c r="E88" s="976"/>
      <c r="F88" s="417">
        <v>44</v>
      </c>
      <c r="G88" s="399"/>
      <c r="X88" s="433" t="str">
        <f t="shared" si="0"/>
        <v/>
      </c>
      <c r="Y88" s="408"/>
      <c r="Z88" s="410"/>
      <c r="AA88" s="436" t="str">
        <f t="shared" si="1"/>
        <v/>
      </c>
      <c r="AB88" s="421" t="str">
        <f t="shared" si="2"/>
        <v/>
      </c>
    </row>
    <row r="89" spans="1:28" ht="20" customHeight="1" thickBot="1">
      <c r="A89" s="976" t="str">
        <f>IFERROR(IF(ISBLANK(VLOOKUP(F89,'Aktuelle Einnahmen'!A46:G148,3,0)),"",VLOOKUP(F89,'Aktuelle Einnahmen'!A46:G148,3,0)),"")</f>
        <v/>
      </c>
      <c r="B89" s="976"/>
      <c r="C89" s="976"/>
      <c r="D89" s="976"/>
      <c r="E89" s="976"/>
      <c r="F89" s="417">
        <v>45</v>
      </c>
      <c r="G89" s="399"/>
      <c r="X89" s="433" t="str">
        <f t="shared" si="0"/>
        <v/>
      </c>
      <c r="Y89" s="408"/>
      <c r="Z89" s="410"/>
      <c r="AA89" s="436" t="str">
        <f t="shared" si="1"/>
        <v/>
      </c>
      <c r="AB89" s="421" t="str">
        <f t="shared" si="2"/>
        <v/>
      </c>
    </row>
    <row r="90" spans="1:28" ht="20" customHeight="1" thickBot="1">
      <c r="A90" s="976" t="str">
        <f>IFERROR(IF(ISBLANK(VLOOKUP(F90,'Aktuelle Einnahmen'!A47:G149,3,0)),"",VLOOKUP(F90,'Aktuelle Einnahmen'!A47:G149,3,0)),"")</f>
        <v/>
      </c>
      <c r="B90" s="976"/>
      <c r="C90" s="976"/>
      <c r="D90" s="976"/>
      <c r="E90" s="976"/>
      <c r="F90" s="417">
        <v>46</v>
      </c>
      <c r="G90" s="399"/>
      <c r="X90" s="433" t="str">
        <f t="shared" si="0"/>
        <v/>
      </c>
      <c r="Y90" s="408"/>
      <c r="Z90" s="410"/>
      <c r="AA90" s="436" t="str">
        <f t="shared" si="1"/>
        <v/>
      </c>
      <c r="AB90" s="421" t="str">
        <f t="shared" si="2"/>
        <v/>
      </c>
    </row>
    <row r="91" spans="1:28" ht="20" customHeight="1" thickBot="1">
      <c r="A91" s="976" t="str">
        <f>IFERROR(IF(ISBLANK(VLOOKUP(F91,'Aktuelle Einnahmen'!A48:G150,3,0)),"",VLOOKUP(F91,'Aktuelle Einnahmen'!A48:G150,3,0)),"")</f>
        <v/>
      </c>
      <c r="B91" s="976"/>
      <c r="C91" s="976"/>
      <c r="D91" s="976"/>
      <c r="E91" s="976"/>
      <c r="F91" s="417">
        <v>47</v>
      </c>
      <c r="G91" s="399"/>
      <c r="X91" s="433" t="str">
        <f t="shared" si="0"/>
        <v/>
      </c>
      <c r="Y91" s="408"/>
      <c r="Z91" s="410"/>
      <c r="AA91" s="436" t="str">
        <f t="shared" si="1"/>
        <v/>
      </c>
      <c r="AB91" s="421" t="str">
        <f t="shared" si="2"/>
        <v/>
      </c>
    </row>
    <row r="92" spans="1:28" ht="20" customHeight="1" thickBot="1">
      <c r="A92" s="976" t="str">
        <f>IFERROR(IF(ISBLANK(VLOOKUP(F92,'Aktuelle Einnahmen'!A49:G151,3,0)),"",VLOOKUP(F92,'Aktuelle Einnahmen'!A49:G151,3,0)),"")</f>
        <v/>
      </c>
      <c r="B92" s="976"/>
      <c r="C92" s="976"/>
      <c r="D92" s="976"/>
      <c r="E92" s="976"/>
      <c r="F92" s="417">
        <v>48</v>
      </c>
      <c r="G92" s="399"/>
      <c r="X92" s="433" t="str">
        <f t="shared" si="0"/>
        <v/>
      </c>
      <c r="Y92" s="408"/>
      <c r="Z92" s="410"/>
      <c r="AA92" s="436" t="str">
        <f t="shared" si="1"/>
        <v/>
      </c>
      <c r="AB92" s="421" t="str">
        <f t="shared" si="2"/>
        <v/>
      </c>
    </row>
    <row r="93" spans="1:28" ht="20" customHeight="1" thickBot="1">
      <c r="A93" s="976" t="str">
        <f>IFERROR(IF(ISBLANK(VLOOKUP(F93,'Aktuelle Einnahmen'!A50:G152,3,0)),"",VLOOKUP(F93,'Aktuelle Einnahmen'!A50:G152,3,0)),"")</f>
        <v/>
      </c>
      <c r="B93" s="976"/>
      <c r="C93" s="976"/>
      <c r="D93" s="976"/>
      <c r="E93" s="976"/>
      <c r="F93" s="417">
        <v>49</v>
      </c>
      <c r="G93" s="399"/>
      <c r="X93" s="433" t="str">
        <f t="shared" si="0"/>
        <v/>
      </c>
      <c r="Y93" s="408"/>
      <c r="Z93" s="410"/>
      <c r="AA93" s="437" t="str">
        <f t="shared" si="1"/>
        <v/>
      </c>
      <c r="AB93" s="421" t="str">
        <f t="shared" si="2"/>
        <v/>
      </c>
    </row>
    <row r="94" spans="1:28" ht="20" customHeight="1" thickBot="1">
      <c r="A94" s="976" t="str">
        <f>IFERROR(IF(ISBLANK(VLOOKUP(F94,'Aktuelle Einnahmen'!A51:G153,3,0)),"",VLOOKUP(F94,'Aktuelle Einnahmen'!A51:G153,3,0)),"")</f>
        <v/>
      </c>
      <c r="B94" s="976"/>
      <c r="C94" s="976"/>
      <c r="D94" s="976"/>
      <c r="E94" s="976"/>
      <c r="F94" s="417">
        <v>50</v>
      </c>
      <c r="G94" s="399"/>
      <c r="X94" s="736" t="str">
        <f t="shared" si="0"/>
        <v/>
      </c>
      <c r="Y94" s="422"/>
      <c r="Z94" s="423"/>
      <c r="AA94" s="431"/>
      <c r="AB94" s="438"/>
    </row>
    <row r="95" spans="1:28" ht="20" customHeight="1">
      <c r="A95" s="976" t="str">
        <f>IFERROR(IF(ISBLANK(VLOOKUP(F95,'Aktuelle Einnahmen'!A52:G154,3,0)),"",VLOOKUP(F95,'Aktuelle Einnahmen'!A52:G154,3,0)),"")</f>
        <v/>
      </c>
      <c r="B95" s="976"/>
      <c r="C95" s="976"/>
      <c r="D95" s="976"/>
      <c r="E95" s="976"/>
      <c r="F95" s="417">
        <v>51</v>
      </c>
      <c r="G95" s="399"/>
      <c r="X95" s="434" t="str">
        <f t="shared" si="0"/>
        <v/>
      </c>
      <c r="Y95" s="399"/>
      <c r="Z95" s="110"/>
      <c r="AA95" s="432"/>
      <c r="AB95" s="110"/>
    </row>
    <row r="96" spans="1:28" ht="20" customHeight="1">
      <c r="A96" s="976" t="str">
        <f>IFERROR(IF(ISBLANK(VLOOKUP(F96,'Aktuelle Einnahmen'!A53:G155,3,0)),"",VLOOKUP(F96,'Aktuelle Einnahmen'!A53:G155,3,0)),"")</f>
        <v/>
      </c>
      <c r="B96" s="976"/>
      <c r="C96" s="976"/>
      <c r="D96" s="976"/>
      <c r="E96" s="976"/>
      <c r="F96" s="417">
        <v>52</v>
      </c>
      <c r="G96" s="399"/>
      <c r="X96" s="434" t="str">
        <f t="shared" si="0"/>
        <v/>
      </c>
      <c r="Y96" s="399"/>
    </row>
    <row r="97" spans="1:25" ht="20" customHeight="1">
      <c r="A97" s="976" t="str">
        <f>IFERROR(IF(ISBLANK(VLOOKUP(F97,'Aktuelle Einnahmen'!A54:G156,3,0)),"",VLOOKUP(F97,'Aktuelle Einnahmen'!A54:G156,3,0)),"")</f>
        <v/>
      </c>
      <c r="B97" s="976"/>
      <c r="C97" s="976"/>
      <c r="D97" s="976"/>
      <c r="E97" s="976"/>
      <c r="F97" s="417">
        <v>53</v>
      </c>
      <c r="G97" s="399"/>
      <c r="X97" s="434" t="str">
        <f t="shared" si="0"/>
        <v/>
      </c>
      <c r="Y97" s="399"/>
    </row>
    <row r="98" spans="1:25" ht="20" customHeight="1">
      <c r="A98" s="976" t="str">
        <f>IFERROR(IF(ISBLANK(VLOOKUP(F98,'Aktuelle Einnahmen'!A55:G157,3,0)),"",VLOOKUP(F98,'Aktuelle Einnahmen'!A55:G157,3,0)),"")</f>
        <v/>
      </c>
      <c r="B98" s="976"/>
      <c r="C98" s="976"/>
      <c r="D98" s="976"/>
      <c r="E98" s="976"/>
      <c r="F98" s="417">
        <v>54</v>
      </c>
      <c r="G98" s="399"/>
      <c r="X98" s="434" t="str">
        <f t="shared" si="0"/>
        <v/>
      </c>
      <c r="Y98" s="399"/>
    </row>
    <row r="99" spans="1:25" ht="20" customHeight="1">
      <c r="A99" s="976" t="str">
        <f>IFERROR(IF(ISBLANK(VLOOKUP(F99,'Aktuelle Einnahmen'!A56:G158,3,0)),"",VLOOKUP(F99,'Aktuelle Einnahmen'!A56:G158,3,0)),"")</f>
        <v/>
      </c>
      <c r="B99" s="976"/>
      <c r="C99" s="976"/>
      <c r="D99" s="976"/>
      <c r="E99" s="976"/>
      <c r="F99" s="417">
        <v>55</v>
      </c>
      <c r="G99" s="399"/>
      <c r="X99" s="434" t="str">
        <f t="shared" si="0"/>
        <v/>
      </c>
      <c r="Y99" s="399"/>
    </row>
    <row r="100" spans="1:25" ht="20" customHeight="1">
      <c r="A100" s="976" t="str">
        <f>IFERROR(IF(ISBLANK(VLOOKUP(F100,'Aktuelle Einnahmen'!A57:G159,3,0)),"",VLOOKUP(F100,'Aktuelle Einnahmen'!A57:G159,3,0)),"")</f>
        <v/>
      </c>
      <c r="B100" s="976"/>
      <c r="C100" s="976"/>
      <c r="D100" s="976"/>
      <c r="E100" s="976"/>
      <c r="F100" s="417">
        <v>56</v>
      </c>
      <c r="G100" s="399"/>
      <c r="X100" s="434" t="str">
        <f t="shared" si="0"/>
        <v/>
      </c>
      <c r="Y100" s="399"/>
    </row>
    <row r="101" spans="1:25" ht="20" customHeight="1">
      <c r="A101" s="976" t="str">
        <f>IFERROR(IF(ISBLANK(VLOOKUP(F101,'Aktuelle Einnahmen'!A58:G160,3,0)),"",VLOOKUP(F101,'Aktuelle Einnahmen'!A58:G160,3,0)),"")</f>
        <v/>
      </c>
      <c r="B101" s="976"/>
      <c r="C101" s="976"/>
      <c r="D101" s="976"/>
      <c r="E101" s="976"/>
      <c r="F101" s="417">
        <v>57</v>
      </c>
      <c r="G101" s="399"/>
      <c r="X101" s="434" t="str">
        <f t="shared" si="0"/>
        <v/>
      </c>
      <c r="Y101" s="399"/>
    </row>
    <row r="102" spans="1:25" ht="20" customHeight="1">
      <c r="A102" s="976" t="str">
        <f>IFERROR(IF(ISBLANK(VLOOKUP(F102,'Aktuelle Einnahmen'!A59:G161,3,0)),"",VLOOKUP(F102,'Aktuelle Einnahmen'!A59:G161,3,0)),"")</f>
        <v/>
      </c>
      <c r="B102" s="976"/>
      <c r="C102" s="976"/>
      <c r="D102" s="976"/>
      <c r="E102" s="976"/>
      <c r="F102" s="417">
        <v>58</v>
      </c>
      <c r="G102" s="399"/>
      <c r="X102" s="434" t="str">
        <f t="shared" si="0"/>
        <v/>
      </c>
      <c r="Y102" s="399"/>
    </row>
    <row r="103" spans="1:25" ht="20" customHeight="1">
      <c r="A103" s="976" t="str">
        <f>IFERROR(IF(ISBLANK(VLOOKUP(F103,'Aktuelle Einnahmen'!A60:G162,3,0)),"",VLOOKUP(F103,'Aktuelle Einnahmen'!A60:G162,3,0)),"")</f>
        <v/>
      </c>
      <c r="B103" s="976"/>
      <c r="C103" s="976"/>
      <c r="D103" s="976"/>
      <c r="E103" s="976"/>
      <c r="F103" s="417">
        <v>59</v>
      </c>
      <c r="G103" s="399"/>
      <c r="X103" s="434" t="str">
        <f t="shared" si="0"/>
        <v/>
      </c>
      <c r="Y103" s="399"/>
    </row>
    <row r="104" spans="1:25" ht="20" customHeight="1">
      <c r="A104" s="976" t="str">
        <f>IFERROR(IF(ISBLANK(VLOOKUP(F104,'Aktuelle Einnahmen'!A61:G163,3,0)),"",VLOOKUP(F104,'Aktuelle Einnahmen'!A61:G163,3,0)),"")</f>
        <v/>
      </c>
      <c r="B104" s="976"/>
      <c r="C104" s="976"/>
      <c r="D104" s="976"/>
      <c r="E104" s="976"/>
      <c r="F104" s="417">
        <v>60</v>
      </c>
      <c r="G104" s="399"/>
      <c r="X104" s="434" t="str">
        <f t="shared" si="0"/>
        <v/>
      </c>
      <c r="Y104" s="399"/>
    </row>
    <row r="105" spans="1:25" ht="20" customHeight="1">
      <c r="A105" s="976" t="str">
        <f>IFERROR(IF(ISBLANK(VLOOKUP(F105,'Aktuelle Einnahmen'!A62:G164,3,0)),"",VLOOKUP(F105,'Aktuelle Einnahmen'!A62:G164,3,0)),"")</f>
        <v/>
      </c>
      <c r="B105" s="976"/>
      <c r="C105" s="976"/>
      <c r="D105" s="976"/>
      <c r="E105" s="976"/>
      <c r="F105" s="417">
        <v>61</v>
      </c>
      <c r="G105" s="399"/>
      <c r="X105" s="434" t="str">
        <f t="shared" si="0"/>
        <v/>
      </c>
      <c r="Y105" s="399"/>
    </row>
    <row r="106" spans="1:25" ht="20" customHeight="1">
      <c r="A106" s="976" t="str">
        <f>IFERROR(IF(ISBLANK(VLOOKUP(F106,'Aktuelle Einnahmen'!A63:G165,3,0)),"",VLOOKUP(F106,'Aktuelle Einnahmen'!A63:G165,3,0)),"")</f>
        <v/>
      </c>
      <c r="B106" s="976"/>
      <c r="C106" s="976"/>
      <c r="D106" s="976"/>
      <c r="E106" s="976"/>
      <c r="F106" s="417">
        <v>62</v>
      </c>
      <c r="G106" s="399"/>
      <c r="X106" s="434" t="str">
        <f t="shared" si="0"/>
        <v/>
      </c>
      <c r="Y106" s="399"/>
    </row>
    <row r="107" spans="1:25" ht="20" customHeight="1">
      <c r="A107" s="976" t="str">
        <f>IFERROR(IF(ISBLANK(VLOOKUP(F107,'Aktuelle Einnahmen'!A64:G166,3,0)),"",VLOOKUP(F107,'Aktuelle Einnahmen'!A64:G166,3,0)),"")</f>
        <v/>
      </c>
      <c r="B107" s="976"/>
      <c r="C107" s="976"/>
      <c r="D107" s="976"/>
      <c r="E107" s="976"/>
      <c r="F107" s="417">
        <v>63</v>
      </c>
      <c r="G107" s="399"/>
      <c r="X107" s="434" t="str">
        <f t="shared" si="0"/>
        <v/>
      </c>
      <c r="Y107" s="399"/>
    </row>
    <row r="108" spans="1:25" ht="20" customHeight="1">
      <c r="A108" s="976" t="str">
        <f>IFERROR(IF(ISBLANK(VLOOKUP(F108,'Aktuelle Einnahmen'!A65:G167,3,0)),"",VLOOKUP(F108,'Aktuelle Einnahmen'!A65:G167,3,0)),"")</f>
        <v/>
      </c>
      <c r="B108" s="976"/>
      <c r="C108" s="976"/>
      <c r="D108" s="976"/>
      <c r="E108" s="976"/>
      <c r="F108" s="417">
        <v>64</v>
      </c>
      <c r="G108" s="399"/>
      <c r="X108" s="434" t="str">
        <f t="shared" si="0"/>
        <v/>
      </c>
      <c r="Y108" s="399"/>
    </row>
    <row r="109" spans="1:25" ht="20" customHeight="1">
      <c r="A109" s="976" t="str">
        <f>IFERROR(IF(ISBLANK(VLOOKUP(F109,'Aktuelle Einnahmen'!A66:G168,3,0)),"",VLOOKUP(F109,'Aktuelle Einnahmen'!A66:G168,3,0)),"")</f>
        <v/>
      </c>
      <c r="B109" s="976"/>
      <c r="C109" s="976"/>
      <c r="D109" s="976"/>
      <c r="E109" s="976"/>
      <c r="F109" s="417">
        <v>65</v>
      </c>
      <c r="G109" s="399"/>
      <c r="X109" s="434" t="str">
        <f t="shared" si="0"/>
        <v/>
      </c>
      <c r="Y109" s="399"/>
    </row>
    <row r="110" spans="1:25" ht="20" customHeight="1">
      <c r="A110" s="976" t="str">
        <f>IFERROR(IF(ISBLANK(VLOOKUP(F110,'Aktuelle Einnahmen'!A67:G169,3,0)),"",VLOOKUP(F110,'Aktuelle Einnahmen'!A67:G169,3,0)),"")</f>
        <v/>
      </c>
      <c r="B110" s="976"/>
      <c r="C110" s="976"/>
      <c r="D110" s="976"/>
      <c r="E110" s="976"/>
      <c r="F110" s="417">
        <v>66</v>
      </c>
      <c r="G110" s="399"/>
      <c r="X110" s="434" t="str">
        <f t="shared" ref="X110:X143" si="3">IFERROR(INDEX($F$32:$F$143, MATCH(Y110, $A$32:$A$143, 0)), "")</f>
        <v/>
      </c>
      <c r="Y110" s="399"/>
    </row>
    <row r="111" spans="1:25" ht="20" customHeight="1">
      <c r="A111" s="976" t="str">
        <f>IFERROR(IF(ISBLANK(VLOOKUP(F111,'Aktuelle Einnahmen'!A68:G170,3,0)),"",VLOOKUP(F111,'Aktuelle Einnahmen'!A68:G170,3,0)),"")</f>
        <v/>
      </c>
      <c r="B111" s="976"/>
      <c r="C111" s="976"/>
      <c r="D111" s="976"/>
      <c r="E111" s="976"/>
      <c r="F111" s="417">
        <v>67</v>
      </c>
      <c r="G111" s="399"/>
      <c r="X111" s="434" t="str">
        <f t="shared" si="3"/>
        <v/>
      </c>
      <c r="Y111" s="399"/>
    </row>
    <row r="112" spans="1:25" ht="20" customHeight="1">
      <c r="A112" s="976" t="str">
        <f>IFERROR(IF(ISBLANK(VLOOKUP(F112,'Aktuelle Einnahmen'!A69:G171,3,0)),"",VLOOKUP(F112,'Aktuelle Einnahmen'!A69:G171,3,0)),"")</f>
        <v/>
      </c>
      <c r="B112" s="976"/>
      <c r="C112" s="976"/>
      <c r="D112" s="976"/>
      <c r="E112" s="976"/>
      <c r="F112" s="417">
        <v>68</v>
      </c>
      <c r="G112" s="399"/>
      <c r="X112" s="434" t="str">
        <f t="shared" si="3"/>
        <v/>
      </c>
      <c r="Y112" s="399"/>
    </row>
    <row r="113" spans="1:25" ht="20" customHeight="1">
      <c r="A113" s="976" t="str">
        <f>IFERROR(IF(ISBLANK(VLOOKUP(F113,'Aktuelle Einnahmen'!A70:G172,3,0)),"",VLOOKUP(F113,'Aktuelle Einnahmen'!A70:G172,3,0)),"")</f>
        <v/>
      </c>
      <c r="B113" s="976"/>
      <c r="C113" s="976"/>
      <c r="D113" s="976"/>
      <c r="E113" s="976"/>
      <c r="F113" s="417">
        <v>69</v>
      </c>
      <c r="G113" s="399"/>
      <c r="X113" s="434" t="str">
        <f t="shared" si="3"/>
        <v/>
      </c>
      <c r="Y113" s="399"/>
    </row>
    <row r="114" spans="1:25" ht="20" customHeight="1">
      <c r="A114" s="976" t="str">
        <f>IFERROR(IF(ISBLANK(VLOOKUP(F114,'Aktuelle Einnahmen'!A71:G173,3,0)),"",VLOOKUP(F114,'Aktuelle Einnahmen'!A71:G173,3,0)),"")</f>
        <v/>
      </c>
      <c r="B114" s="976"/>
      <c r="C114" s="976"/>
      <c r="D114" s="976"/>
      <c r="E114" s="976"/>
      <c r="F114" s="417">
        <v>70</v>
      </c>
      <c r="G114" s="399"/>
      <c r="X114" s="434" t="str">
        <f t="shared" si="3"/>
        <v/>
      </c>
      <c r="Y114" s="399"/>
    </row>
    <row r="115" spans="1:25" ht="20" customHeight="1">
      <c r="A115" s="976" t="str">
        <f>IFERROR(IF(ISBLANK(VLOOKUP(F115,'Aktuelle Einnahmen'!A72:G174,3,0)),"",VLOOKUP(F115,'Aktuelle Einnahmen'!A72:G174,3,0)),"")</f>
        <v/>
      </c>
      <c r="B115" s="976"/>
      <c r="C115" s="976"/>
      <c r="D115" s="976"/>
      <c r="E115" s="976"/>
      <c r="F115" s="417">
        <v>71</v>
      </c>
      <c r="G115" s="399"/>
      <c r="X115" s="434" t="str">
        <f t="shared" si="3"/>
        <v/>
      </c>
      <c r="Y115" s="399"/>
    </row>
    <row r="116" spans="1:25" ht="20" customHeight="1">
      <c r="A116" s="976" t="str">
        <f>IFERROR(IF(ISBLANK(VLOOKUP(F116,'Aktuelle Einnahmen'!A73:G175,3,0)),"",VLOOKUP(F116,'Aktuelle Einnahmen'!A73:G175,3,0)),"")</f>
        <v/>
      </c>
      <c r="B116" s="976"/>
      <c r="C116" s="976"/>
      <c r="D116" s="976"/>
      <c r="E116" s="976"/>
      <c r="F116" s="417">
        <v>72</v>
      </c>
      <c r="G116" s="399"/>
      <c r="X116" s="434" t="str">
        <f t="shared" si="3"/>
        <v/>
      </c>
      <c r="Y116" s="399"/>
    </row>
    <row r="117" spans="1:25" ht="20" customHeight="1">
      <c r="A117" s="976" t="str">
        <f>IFERROR(IF(ISBLANK(VLOOKUP(F117,'Aktuelle Einnahmen'!A74:G176,3,0)),"",VLOOKUP(F117,'Aktuelle Einnahmen'!A74:G176,3,0)),"")</f>
        <v/>
      </c>
      <c r="B117" s="976"/>
      <c r="C117" s="976"/>
      <c r="D117" s="976"/>
      <c r="E117" s="976"/>
      <c r="F117" s="417">
        <v>73</v>
      </c>
      <c r="G117" s="399"/>
      <c r="X117" s="434" t="str">
        <f t="shared" si="3"/>
        <v/>
      </c>
      <c r="Y117" s="399"/>
    </row>
    <row r="118" spans="1:25" ht="20" customHeight="1">
      <c r="A118" s="976" t="str">
        <f>IFERROR(IF(ISBLANK(VLOOKUP(F118,'Aktuelle Einnahmen'!A75:G177,3,0)),"",VLOOKUP(F118,'Aktuelle Einnahmen'!A75:G177,3,0)),"")</f>
        <v/>
      </c>
      <c r="B118" s="976"/>
      <c r="C118" s="976"/>
      <c r="D118" s="976"/>
      <c r="E118" s="976"/>
      <c r="F118" s="417">
        <v>74</v>
      </c>
      <c r="G118" s="399"/>
      <c r="X118" s="434" t="str">
        <f t="shared" si="3"/>
        <v/>
      </c>
      <c r="Y118" s="399"/>
    </row>
    <row r="119" spans="1:25" ht="20" customHeight="1">
      <c r="A119" s="976" t="str">
        <f>IFERROR(IF(ISBLANK(VLOOKUP(F119,'Aktuelle Einnahmen'!A76:G178,3,0)),"",VLOOKUP(F119,'Aktuelle Einnahmen'!A76:G178,3,0)),"")</f>
        <v/>
      </c>
      <c r="B119" s="976"/>
      <c r="C119" s="976"/>
      <c r="D119" s="976"/>
      <c r="E119" s="976"/>
      <c r="F119" s="417">
        <v>75</v>
      </c>
      <c r="G119" s="399"/>
      <c r="X119" s="434" t="str">
        <f t="shared" si="3"/>
        <v/>
      </c>
      <c r="Y119" s="399"/>
    </row>
    <row r="120" spans="1:25" ht="20" customHeight="1">
      <c r="A120" s="976" t="str">
        <f>IFERROR(IF(ISBLANK(VLOOKUP(F120,'Aktuelle Einnahmen'!A77:G179,3,0)),"",VLOOKUP(F120,'Aktuelle Einnahmen'!A77:G179,3,0)),"")</f>
        <v/>
      </c>
      <c r="B120" s="976"/>
      <c r="C120" s="976"/>
      <c r="D120" s="976"/>
      <c r="E120" s="976"/>
      <c r="F120" s="417">
        <v>76</v>
      </c>
      <c r="G120" s="399"/>
      <c r="X120" s="434" t="str">
        <f t="shared" si="3"/>
        <v/>
      </c>
      <c r="Y120" s="399"/>
    </row>
    <row r="121" spans="1:25" ht="20" customHeight="1">
      <c r="A121" s="976" t="str">
        <f>IFERROR(IF(ISBLANK(VLOOKUP(F121,'Aktuelle Einnahmen'!A78:G180,3,0)),"",VLOOKUP(F121,'Aktuelle Einnahmen'!A78:G180,3,0)),"")</f>
        <v/>
      </c>
      <c r="B121" s="976"/>
      <c r="C121" s="976"/>
      <c r="D121" s="976"/>
      <c r="E121" s="976"/>
      <c r="F121" s="417">
        <v>77</v>
      </c>
      <c r="G121" s="399"/>
      <c r="X121" s="434" t="str">
        <f t="shared" si="3"/>
        <v/>
      </c>
      <c r="Y121" s="399"/>
    </row>
    <row r="122" spans="1:25" ht="20" customHeight="1">
      <c r="A122" s="976" t="str">
        <f>IFERROR(IF(ISBLANK(VLOOKUP(F122,'Aktuelle Einnahmen'!A79:G181,3,0)),"",VLOOKUP(F122,'Aktuelle Einnahmen'!A79:G181,3,0)),"")</f>
        <v/>
      </c>
      <c r="B122" s="976"/>
      <c r="C122" s="976"/>
      <c r="D122" s="976"/>
      <c r="E122" s="976"/>
      <c r="F122" s="417">
        <v>78</v>
      </c>
      <c r="G122" s="399"/>
      <c r="X122" s="434" t="str">
        <f t="shared" si="3"/>
        <v/>
      </c>
      <c r="Y122" s="399"/>
    </row>
    <row r="123" spans="1:25" ht="20" customHeight="1">
      <c r="A123" s="976" t="str">
        <f>IFERROR(IF(ISBLANK(VLOOKUP(F123,'Aktuelle Einnahmen'!A80:G182,3,0)),"",VLOOKUP(F123,'Aktuelle Einnahmen'!A80:G182,3,0)),"")</f>
        <v/>
      </c>
      <c r="B123" s="976"/>
      <c r="C123" s="976"/>
      <c r="D123" s="976"/>
      <c r="E123" s="976"/>
      <c r="F123" s="417">
        <v>79</v>
      </c>
      <c r="G123" s="399"/>
      <c r="X123" s="434" t="str">
        <f t="shared" si="3"/>
        <v/>
      </c>
      <c r="Y123" s="399"/>
    </row>
    <row r="124" spans="1:25" ht="20" customHeight="1">
      <c r="A124" s="976" t="str">
        <f>IFERROR(IF(ISBLANK(VLOOKUP(F124,'Aktuelle Einnahmen'!A81:G183,3,0)),"",VLOOKUP(F124,'Aktuelle Einnahmen'!A81:G183,3,0)),"")</f>
        <v/>
      </c>
      <c r="B124" s="976"/>
      <c r="C124" s="976"/>
      <c r="D124" s="976"/>
      <c r="E124" s="976"/>
      <c r="F124" s="417">
        <v>80</v>
      </c>
      <c r="G124" s="399"/>
      <c r="X124" s="434" t="str">
        <f t="shared" si="3"/>
        <v/>
      </c>
      <c r="Y124" s="399"/>
    </row>
    <row r="125" spans="1:25" ht="20" customHeight="1">
      <c r="A125" s="976" t="str">
        <f>IFERROR(IF(ISBLANK(VLOOKUP(F125,'Aktuelle Einnahmen'!A82:G184,3,0)),"",VLOOKUP(F125,'Aktuelle Einnahmen'!A82:G184,3,0)),"")</f>
        <v/>
      </c>
      <c r="B125" s="976"/>
      <c r="C125" s="976"/>
      <c r="D125" s="976"/>
      <c r="E125" s="976"/>
      <c r="F125" s="417">
        <v>81</v>
      </c>
      <c r="G125" s="399"/>
      <c r="X125" s="434" t="str">
        <f t="shared" si="3"/>
        <v/>
      </c>
      <c r="Y125" s="399"/>
    </row>
    <row r="126" spans="1:25" ht="20" customHeight="1">
      <c r="A126" s="976" t="str">
        <f>IFERROR(IF(ISBLANK(VLOOKUP(F126,'Aktuelle Einnahmen'!A83:G185,3,0)),"",VLOOKUP(F126,'Aktuelle Einnahmen'!A83:G185,3,0)),"")</f>
        <v/>
      </c>
      <c r="B126" s="976"/>
      <c r="C126" s="976"/>
      <c r="D126" s="976"/>
      <c r="E126" s="976"/>
      <c r="F126" s="417">
        <v>82</v>
      </c>
      <c r="G126" s="399"/>
      <c r="X126" s="434" t="str">
        <f t="shared" si="3"/>
        <v/>
      </c>
      <c r="Y126" s="399"/>
    </row>
    <row r="127" spans="1:25" ht="20" customHeight="1">
      <c r="A127" s="976" t="str">
        <f>IFERROR(IF(ISBLANK(VLOOKUP(F127,'Aktuelle Einnahmen'!A84:G186,3,0)),"",VLOOKUP(F127,'Aktuelle Einnahmen'!A84:G186,3,0)),"")</f>
        <v/>
      </c>
      <c r="B127" s="976"/>
      <c r="C127" s="976"/>
      <c r="D127" s="976"/>
      <c r="E127" s="976"/>
      <c r="F127" s="417">
        <v>83</v>
      </c>
      <c r="G127" s="399"/>
      <c r="X127" s="434" t="str">
        <f t="shared" si="3"/>
        <v/>
      </c>
      <c r="Y127" s="399"/>
    </row>
    <row r="128" spans="1:25" ht="20" customHeight="1">
      <c r="A128" s="976" t="str">
        <f>IFERROR(IF(ISBLANK(VLOOKUP(F128,'Aktuelle Einnahmen'!A85:G187,3,0)),"",VLOOKUP(F128,'Aktuelle Einnahmen'!A85:G187,3,0)),"")</f>
        <v/>
      </c>
      <c r="B128" s="976"/>
      <c r="C128" s="976"/>
      <c r="D128" s="976"/>
      <c r="E128" s="976"/>
      <c r="F128" s="417">
        <v>84</v>
      </c>
      <c r="G128" s="399"/>
      <c r="X128" s="434" t="str">
        <f t="shared" si="3"/>
        <v/>
      </c>
      <c r="Y128" s="399"/>
    </row>
    <row r="129" spans="1:25" ht="20" customHeight="1">
      <c r="A129" s="976" t="str">
        <f>IFERROR(IF(ISBLANK(VLOOKUP(F129,'Aktuelle Einnahmen'!A86:G188,3,0)),"",VLOOKUP(F129,'Aktuelle Einnahmen'!A86:G188,3,0)),"")</f>
        <v/>
      </c>
      <c r="B129" s="976"/>
      <c r="C129" s="976"/>
      <c r="D129" s="976"/>
      <c r="E129" s="976"/>
      <c r="F129" s="417">
        <v>85</v>
      </c>
      <c r="G129" s="399"/>
      <c r="X129" s="434" t="str">
        <f t="shared" si="3"/>
        <v/>
      </c>
      <c r="Y129" s="399"/>
    </row>
    <row r="130" spans="1:25" ht="20" customHeight="1">
      <c r="A130" s="976" t="str">
        <f>IFERROR(IF(ISBLANK(VLOOKUP(F130,'Aktuelle Einnahmen'!A87:G189,3,0)),"",VLOOKUP(F130,'Aktuelle Einnahmen'!A87:G189,3,0)),"")</f>
        <v/>
      </c>
      <c r="B130" s="976"/>
      <c r="C130" s="976"/>
      <c r="D130" s="976"/>
      <c r="E130" s="976"/>
      <c r="F130" s="417">
        <v>86</v>
      </c>
      <c r="G130" s="399"/>
      <c r="X130" s="434" t="str">
        <f t="shared" si="3"/>
        <v/>
      </c>
      <c r="Y130" s="399"/>
    </row>
    <row r="131" spans="1:25" ht="20" customHeight="1">
      <c r="A131" s="976" t="str">
        <f>IFERROR(IF(ISBLANK(VLOOKUP(F131,'Aktuelle Einnahmen'!A88:G190,3,0)),"",VLOOKUP(F131,'Aktuelle Einnahmen'!A88:G190,3,0)),"")</f>
        <v/>
      </c>
      <c r="B131" s="976"/>
      <c r="C131" s="976"/>
      <c r="D131" s="976"/>
      <c r="E131" s="976"/>
      <c r="F131" s="417">
        <v>87</v>
      </c>
      <c r="G131" s="399"/>
      <c r="X131" s="434" t="str">
        <f t="shared" si="3"/>
        <v/>
      </c>
      <c r="Y131" s="399"/>
    </row>
    <row r="132" spans="1:25" ht="20" customHeight="1">
      <c r="A132" s="976" t="str">
        <f>IFERROR(IF(ISBLANK(VLOOKUP(F132,'Aktuelle Einnahmen'!A89:G191,3,0)),"",VLOOKUP(F132,'Aktuelle Einnahmen'!A89:G191,3,0)),"")</f>
        <v/>
      </c>
      <c r="B132" s="976"/>
      <c r="C132" s="976"/>
      <c r="D132" s="976"/>
      <c r="E132" s="976"/>
      <c r="F132" s="417">
        <v>88</v>
      </c>
      <c r="G132" s="399"/>
      <c r="X132" s="434" t="str">
        <f t="shared" si="3"/>
        <v/>
      </c>
      <c r="Y132" s="399"/>
    </row>
    <row r="133" spans="1:25" ht="20" customHeight="1">
      <c r="A133" s="976" t="str">
        <f>IFERROR(IF(ISBLANK(VLOOKUP(F133,'Aktuelle Einnahmen'!A90:G192,3,0)),"",VLOOKUP(F133,'Aktuelle Einnahmen'!A90:G192,3,0)),"")</f>
        <v/>
      </c>
      <c r="B133" s="976"/>
      <c r="C133" s="976"/>
      <c r="D133" s="976"/>
      <c r="E133" s="976"/>
      <c r="F133" s="417">
        <v>89</v>
      </c>
      <c r="G133" s="399"/>
      <c r="X133" s="434" t="str">
        <f t="shared" si="3"/>
        <v/>
      </c>
      <c r="Y133" s="399"/>
    </row>
    <row r="134" spans="1:25" ht="20" customHeight="1">
      <c r="A134" s="976" t="str">
        <f>IFERROR(IF(ISBLANK(VLOOKUP(F134,'Aktuelle Einnahmen'!A91:G193,3,0)),"",VLOOKUP(F134,'Aktuelle Einnahmen'!A91:G193,3,0)),"")</f>
        <v/>
      </c>
      <c r="B134" s="976"/>
      <c r="C134" s="976"/>
      <c r="D134" s="976"/>
      <c r="E134" s="976"/>
      <c r="F134" s="417">
        <v>90</v>
      </c>
      <c r="G134" s="399"/>
      <c r="X134" s="434" t="str">
        <f t="shared" si="3"/>
        <v/>
      </c>
      <c r="Y134" s="399"/>
    </row>
    <row r="135" spans="1:25" ht="20" customHeight="1">
      <c r="A135" s="976" t="str">
        <f>IFERROR(IF(ISBLANK(VLOOKUP(F135,'Aktuelle Einnahmen'!A92:G194,3,0)),"",VLOOKUP(F135,'Aktuelle Einnahmen'!A92:G194,3,0)),"")</f>
        <v/>
      </c>
      <c r="B135" s="976"/>
      <c r="C135" s="976"/>
      <c r="D135" s="976"/>
      <c r="E135" s="976"/>
      <c r="F135" s="417">
        <v>91</v>
      </c>
      <c r="G135" s="399"/>
      <c r="X135" s="434" t="str">
        <f t="shared" si="3"/>
        <v/>
      </c>
      <c r="Y135" s="399"/>
    </row>
    <row r="136" spans="1:25" ht="20" customHeight="1">
      <c r="A136" s="976" t="str">
        <f>IFERROR(IF(ISBLANK(VLOOKUP(F136,'Aktuelle Einnahmen'!A93:G195,3,0)),"",VLOOKUP(F136,'Aktuelle Einnahmen'!A93:G195,3,0)),"")</f>
        <v/>
      </c>
      <c r="B136" s="976"/>
      <c r="C136" s="976"/>
      <c r="D136" s="976"/>
      <c r="E136" s="976"/>
      <c r="F136" s="417">
        <v>92</v>
      </c>
      <c r="G136" s="399"/>
      <c r="X136" s="434" t="str">
        <f t="shared" si="3"/>
        <v/>
      </c>
      <c r="Y136" s="399"/>
    </row>
    <row r="137" spans="1:25" ht="20" customHeight="1">
      <c r="A137" s="976" t="str">
        <f>IFERROR(IF(ISBLANK(VLOOKUP(F137,'Aktuelle Einnahmen'!A94:G196,3,0)),"",VLOOKUP(F137,'Aktuelle Einnahmen'!A94:G196,3,0)),"")</f>
        <v/>
      </c>
      <c r="B137" s="976"/>
      <c r="C137" s="976"/>
      <c r="D137" s="976"/>
      <c r="E137" s="976"/>
      <c r="F137" s="417">
        <v>93</v>
      </c>
      <c r="G137" s="399"/>
      <c r="X137" s="434" t="str">
        <f t="shared" si="3"/>
        <v/>
      </c>
      <c r="Y137" s="399"/>
    </row>
    <row r="138" spans="1:25" ht="20" customHeight="1">
      <c r="A138" s="976" t="str">
        <f>IFERROR(IF(ISBLANK(VLOOKUP(F138,'Aktuelle Einnahmen'!A95:G197,3,0)),"",VLOOKUP(F138,'Aktuelle Einnahmen'!A95:G197,3,0)),"")</f>
        <v/>
      </c>
      <c r="B138" s="976"/>
      <c r="C138" s="976"/>
      <c r="D138" s="976"/>
      <c r="E138" s="976"/>
      <c r="F138" s="417">
        <v>94</v>
      </c>
      <c r="G138" s="399"/>
      <c r="X138" s="434" t="str">
        <f t="shared" si="3"/>
        <v/>
      </c>
      <c r="Y138" s="399"/>
    </row>
    <row r="139" spans="1:25" ht="20" customHeight="1">
      <c r="A139" s="976" t="str">
        <f>IFERROR(IF(ISBLANK(VLOOKUP(F139,'Aktuelle Einnahmen'!A96:G198,3,0)),"",VLOOKUP(F139,'Aktuelle Einnahmen'!A96:G198,3,0)),"")</f>
        <v/>
      </c>
      <c r="B139" s="976"/>
      <c r="C139" s="976"/>
      <c r="D139" s="976"/>
      <c r="E139" s="976"/>
      <c r="F139" s="417">
        <v>95</v>
      </c>
      <c r="G139" s="399"/>
      <c r="X139" s="434" t="str">
        <f t="shared" si="3"/>
        <v/>
      </c>
      <c r="Y139" s="399"/>
    </row>
    <row r="140" spans="1:25" ht="20" customHeight="1">
      <c r="A140" s="976" t="str">
        <f>IFERROR(IF(ISBLANK(VLOOKUP(F140,'Aktuelle Einnahmen'!A97:G199,3,0)),"",VLOOKUP(F140,'Aktuelle Einnahmen'!A97:G199,3,0)),"")</f>
        <v/>
      </c>
      <c r="B140" s="976"/>
      <c r="C140" s="976"/>
      <c r="D140" s="976"/>
      <c r="E140" s="976"/>
      <c r="F140" s="417">
        <v>96</v>
      </c>
      <c r="G140" s="399"/>
      <c r="X140" s="434" t="str">
        <f t="shared" si="3"/>
        <v/>
      </c>
      <c r="Y140" s="399"/>
    </row>
    <row r="141" spans="1:25" ht="20" customHeight="1" thickBot="1">
      <c r="A141" s="976" t="str">
        <f>IFERROR(IF(ISBLANK(VLOOKUP(F141,'Aktuelle Einnahmen'!A98:G200,3,0)),"",VLOOKUP(F141,'Aktuelle Einnahmen'!A98:G200,3,0)),"")</f>
        <v/>
      </c>
      <c r="B141" s="976"/>
      <c r="C141" s="976"/>
      <c r="D141" s="976"/>
      <c r="E141" s="976"/>
      <c r="F141" s="734">
        <v>97</v>
      </c>
      <c r="G141" s="399"/>
      <c r="X141" s="735" t="str">
        <f t="shared" si="3"/>
        <v/>
      </c>
      <c r="Y141" s="399"/>
    </row>
    <row r="142" spans="1:25" ht="20" customHeight="1" thickBot="1">
      <c r="A142" s="976" t="str">
        <f>IFERROR(IF(ISBLANK(VLOOKUP(F142,'Aktuelle Einnahmen'!A99:G201,3,0)),"",VLOOKUP(F142,'Aktuelle Einnahmen'!A99:G201,3,0)),"")</f>
        <v/>
      </c>
      <c r="B142" s="976"/>
      <c r="C142" s="976"/>
      <c r="D142" s="976"/>
      <c r="E142" s="976"/>
      <c r="F142" s="405">
        <v>98</v>
      </c>
      <c r="G142" s="399"/>
      <c r="X142" s="433" t="str">
        <f t="shared" si="3"/>
        <v/>
      </c>
      <c r="Y142" s="399"/>
    </row>
    <row r="143" spans="1:25" ht="20" customHeight="1" thickBot="1">
      <c r="A143" s="976" t="str">
        <f>IFERROR(IF(ISBLANK(VLOOKUP(F143,'Aktuelle Einnahmen'!A100:G202,3,0)),"",VLOOKUP(F143,'Aktuelle Einnahmen'!A100:G202,3,0)),"")</f>
        <v/>
      </c>
      <c r="B143" s="976"/>
      <c r="C143" s="976"/>
      <c r="D143" s="976"/>
      <c r="E143" s="976"/>
      <c r="F143" s="406">
        <v>99</v>
      </c>
      <c r="G143" s="399"/>
      <c r="X143" s="433" t="str">
        <f t="shared" si="3"/>
        <v/>
      </c>
      <c r="Y143" s="399"/>
    </row>
    <row r="144" spans="1:25" ht="20" customHeight="1">
      <c r="A144" s="976" t="str">
        <f>IFERROR(IF(ISBLANK(VLOOKUP(F144,'Aktuelle Einnahmen'!A101:G203,3,0)),"",VLOOKUP(F144,'Aktuelle Einnahmen'!A101:G203,3,0)),"")</f>
        <v/>
      </c>
      <c r="B144" s="976"/>
      <c r="C144" s="976"/>
      <c r="D144" s="976"/>
      <c r="E144" s="976"/>
      <c r="F144" s="399"/>
      <c r="G144" s="399"/>
      <c r="X144" s="429" t="str">
        <f t="shared" ref="X144" si="4">IFERROR(INDEX($F$32:$F$131, MATCH(Y144, $A$32:$A$131, 0)), "")</f>
        <v/>
      </c>
      <c r="Y144" s="399"/>
    </row>
    <row r="145" spans="1:25" ht="20" customHeight="1">
      <c r="A145" s="399"/>
      <c r="B145" s="399"/>
      <c r="C145" s="399"/>
      <c r="D145" s="399"/>
      <c r="E145" s="399"/>
      <c r="F145" s="399"/>
      <c r="G145" s="399"/>
      <c r="X145" s="399"/>
      <c r="Y145" s="399"/>
    </row>
    <row r="146" spans="1:25" ht="20" customHeight="1">
      <c r="A146" s="399"/>
      <c r="B146" s="399"/>
      <c r="C146" s="399"/>
      <c r="D146" s="399"/>
      <c r="E146" s="399"/>
      <c r="F146" s="399"/>
      <c r="G146" s="399"/>
      <c r="X146" s="399"/>
      <c r="Y146" s="399"/>
    </row>
  </sheetData>
  <sheetProtection algorithmName="SHA-512" hashValue="GGoMSotysOYfd+b9eXxFGo6MXXrE+j8MXnEykkG+rlFN3pzwDNK3z9M+PglEiX+/ta7DZOeZQRy3kg7gKxdukg==" saltValue="IwcmhNSJj6CZ+w5a0Q8I/g==" spinCount="100000" sheet="1" objects="1" scenarios="1"/>
  <mergeCells count="278">
    <mergeCell ref="A1:I1"/>
    <mergeCell ref="J1:P2"/>
    <mergeCell ref="Q1:S1"/>
    <mergeCell ref="A2:I2"/>
    <mergeCell ref="C3:F3"/>
    <mergeCell ref="O3:Q3"/>
    <mergeCell ref="R3:S3"/>
    <mergeCell ref="A12:S12"/>
    <mergeCell ref="I3:M3"/>
    <mergeCell ref="K4:M4"/>
    <mergeCell ref="K5:M5"/>
    <mergeCell ref="T3:U3"/>
    <mergeCell ref="Y3:Z3"/>
    <mergeCell ref="B4:F4"/>
    <mergeCell ref="G4:H4"/>
    <mergeCell ref="Q4:S4"/>
    <mergeCell ref="B5:F5"/>
    <mergeCell ref="G5:H5"/>
    <mergeCell ref="S8:V8"/>
    <mergeCell ref="H11:J11"/>
    <mergeCell ref="S6:S7"/>
    <mergeCell ref="A7:O7"/>
    <mergeCell ref="A8:P9"/>
    <mergeCell ref="G10:H10"/>
    <mergeCell ref="I10:M10"/>
    <mergeCell ref="N10:O10"/>
    <mergeCell ref="B6:F6"/>
    <mergeCell ref="G6:H6"/>
    <mergeCell ref="L6:O6"/>
    <mergeCell ref="P6:P7"/>
    <mergeCell ref="Q6:Q7"/>
    <mergeCell ref="R6:R7"/>
    <mergeCell ref="K11:S11"/>
    <mergeCell ref="B11:G11"/>
    <mergeCell ref="A16:E17"/>
    <mergeCell ref="H16:I17"/>
    <mergeCell ref="J16:K16"/>
    <mergeCell ref="M16:O16"/>
    <mergeCell ref="F17:G17"/>
    <mergeCell ref="J17:K17"/>
    <mergeCell ref="M17:O17"/>
    <mergeCell ref="W13:Z13"/>
    <mergeCell ref="H14:I15"/>
    <mergeCell ref="J14:K14"/>
    <mergeCell ref="M14:N14"/>
    <mergeCell ref="F15:G15"/>
    <mergeCell ref="J15:K15"/>
    <mergeCell ref="M15:O15"/>
    <mergeCell ref="A14:E15"/>
    <mergeCell ref="J13:K13"/>
    <mergeCell ref="H13:I13"/>
    <mergeCell ref="A13:B13"/>
    <mergeCell ref="A20:K20"/>
    <mergeCell ref="M20:O20"/>
    <mergeCell ref="A21:K21"/>
    <mergeCell ref="M21:O21"/>
    <mergeCell ref="A22:K22"/>
    <mergeCell ref="M22:O22"/>
    <mergeCell ref="A18:E19"/>
    <mergeCell ref="H18:I19"/>
    <mergeCell ref="J18:K18"/>
    <mergeCell ref="M18:O18"/>
    <mergeCell ref="F19:G19"/>
    <mergeCell ref="J19:K19"/>
    <mergeCell ref="M19:O19"/>
    <mergeCell ref="A28:C28"/>
    <mergeCell ref="D28:E28"/>
    <mergeCell ref="G28:H28"/>
    <mergeCell ref="L28:M28"/>
    <mergeCell ref="N28:O28"/>
    <mergeCell ref="A29:E29"/>
    <mergeCell ref="L29:M29"/>
    <mergeCell ref="N29:O29"/>
    <mergeCell ref="B23:S23"/>
    <mergeCell ref="A25:B25"/>
    <mergeCell ref="C25:E25"/>
    <mergeCell ref="N25:P25"/>
    <mergeCell ref="D26:E26"/>
    <mergeCell ref="A24:S24"/>
    <mergeCell ref="Q32:S32"/>
    <mergeCell ref="D33:E33"/>
    <mergeCell ref="G33:H33"/>
    <mergeCell ref="L33:M33"/>
    <mergeCell ref="N33:O33"/>
    <mergeCell ref="A30:E31"/>
    <mergeCell ref="L30:M30"/>
    <mergeCell ref="N30:O30"/>
    <mergeCell ref="L31:M31"/>
    <mergeCell ref="N31:O31"/>
    <mergeCell ref="A32:O32"/>
    <mergeCell ref="A33:C33"/>
    <mergeCell ref="A37:E37"/>
    <mergeCell ref="H37:J37"/>
    <mergeCell ref="K37:O37"/>
    <mergeCell ref="A38:E38"/>
    <mergeCell ref="I38:J38"/>
    <mergeCell ref="K38:O38"/>
    <mergeCell ref="A34:E34"/>
    <mergeCell ref="L34:M34"/>
    <mergeCell ref="N34:O34"/>
    <mergeCell ref="A35:C36"/>
    <mergeCell ref="D35:E36"/>
    <mergeCell ref="L35:M35"/>
    <mergeCell ref="N35:O35"/>
    <mergeCell ref="L36:M36"/>
    <mergeCell ref="N36:O36"/>
    <mergeCell ref="X44:AB44"/>
    <mergeCell ref="A45:E45"/>
    <mergeCell ref="G45:J45"/>
    <mergeCell ref="L45:L77"/>
    <mergeCell ref="M45:R45"/>
    <mergeCell ref="A46:E46"/>
    <mergeCell ref="A49:E49"/>
    <mergeCell ref="G49:J49"/>
    <mergeCell ref="M49:R49"/>
    <mergeCell ref="A50:E50"/>
    <mergeCell ref="G50:J50"/>
    <mergeCell ref="M50:R50"/>
    <mergeCell ref="G46:J46"/>
    <mergeCell ref="M46:R46"/>
    <mergeCell ref="G47:J47"/>
    <mergeCell ref="M47:R47"/>
    <mergeCell ref="G48:J48"/>
    <mergeCell ref="M48:R48"/>
    <mergeCell ref="A53:E53"/>
    <mergeCell ref="G53:J53"/>
    <mergeCell ref="A51:E51"/>
    <mergeCell ref="G51:J51"/>
    <mergeCell ref="M51:R51"/>
    <mergeCell ref="A52:E52"/>
    <mergeCell ref="G52:J52"/>
    <mergeCell ref="M52:R52"/>
    <mergeCell ref="A39:S39"/>
    <mergeCell ref="A40:S40"/>
    <mergeCell ref="A42:S42"/>
    <mergeCell ref="A44:S44"/>
    <mergeCell ref="A55:E55"/>
    <mergeCell ref="G55:J55"/>
    <mergeCell ref="M55:R55"/>
    <mergeCell ref="A48:E48"/>
    <mergeCell ref="A47:E47"/>
    <mergeCell ref="A56:E56"/>
    <mergeCell ref="G56:J56"/>
    <mergeCell ref="M56:R56"/>
    <mergeCell ref="M53:R53"/>
    <mergeCell ref="A54:E54"/>
    <mergeCell ref="G54:J54"/>
    <mergeCell ref="M54:R54"/>
    <mergeCell ref="A59:E59"/>
    <mergeCell ref="G59:J59"/>
    <mergeCell ref="M59:R59"/>
    <mergeCell ref="A60:E60"/>
    <mergeCell ref="G60:J60"/>
    <mergeCell ref="M60:R60"/>
    <mergeCell ref="A57:E57"/>
    <mergeCell ref="G57:J57"/>
    <mergeCell ref="M57:R57"/>
    <mergeCell ref="A58:E58"/>
    <mergeCell ref="G58:J58"/>
    <mergeCell ref="M58:R58"/>
    <mergeCell ref="A63:E63"/>
    <mergeCell ref="G63:J63"/>
    <mergeCell ref="M63:R63"/>
    <mergeCell ref="A64:E64"/>
    <mergeCell ref="G64:J64"/>
    <mergeCell ref="M64:R64"/>
    <mergeCell ref="A61:E61"/>
    <mergeCell ref="G61:J61"/>
    <mergeCell ref="M61:R61"/>
    <mergeCell ref="A62:E62"/>
    <mergeCell ref="G62:J62"/>
    <mergeCell ref="M62:R62"/>
    <mergeCell ref="A67:E67"/>
    <mergeCell ref="G67:J67"/>
    <mergeCell ref="M67:R67"/>
    <mergeCell ref="A68:E68"/>
    <mergeCell ref="G68:J68"/>
    <mergeCell ref="M68:R68"/>
    <mergeCell ref="A65:E65"/>
    <mergeCell ref="G65:J65"/>
    <mergeCell ref="M65:R65"/>
    <mergeCell ref="A66:E66"/>
    <mergeCell ref="G66:J66"/>
    <mergeCell ref="M66:R66"/>
    <mergeCell ref="A71:E71"/>
    <mergeCell ref="G71:J71"/>
    <mergeCell ref="M71:R71"/>
    <mergeCell ref="A72:E72"/>
    <mergeCell ref="G72:J72"/>
    <mergeCell ref="M72:R72"/>
    <mergeCell ref="A69:E69"/>
    <mergeCell ref="G69:J69"/>
    <mergeCell ref="M69:R69"/>
    <mergeCell ref="A70:E70"/>
    <mergeCell ref="G70:J70"/>
    <mergeCell ref="M70:R70"/>
    <mergeCell ref="A75:E75"/>
    <mergeCell ref="G75:J75"/>
    <mergeCell ref="M75:R75"/>
    <mergeCell ref="A76:E76"/>
    <mergeCell ref="G76:J76"/>
    <mergeCell ref="M76:R76"/>
    <mergeCell ref="A73:E73"/>
    <mergeCell ref="G73:J73"/>
    <mergeCell ref="M73:R73"/>
    <mergeCell ref="A74:E74"/>
    <mergeCell ref="G74:J74"/>
    <mergeCell ref="M74:R74"/>
    <mergeCell ref="A81:E81"/>
    <mergeCell ref="A82:E82"/>
    <mergeCell ref="A83:E83"/>
    <mergeCell ref="A84:E84"/>
    <mergeCell ref="A85:E85"/>
    <mergeCell ref="A86:E86"/>
    <mergeCell ref="A77:E77"/>
    <mergeCell ref="G77:J77"/>
    <mergeCell ref="M77:R77"/>
    <mergeCell ref="A78:E78"/>
    <mergeCell ref="A79:E79"/>
    <mergeCell ref="A80:E80"/>
    <mergeCell ref="A93:E93"/>
    <mergeCell ref="A94:E94"/>
    <mergeCell ref="A95:E95"/>
    <mergeCell ref="A96:E96"/>
    <mergeCell ref="A97:E97"/>
    <mergeCell ref="A98:E98"/>
    <mergeCell ref="A87:E87"/>
    <mergeCell ref="A88:E88"/>
    <mergeCell ref="A89:E89"/>
    <mergeCell ref="A90:E90"/>
    <mergeCell ref="A91:E91"/>
    <mergeCell ref="A92:E92"/>
    <mergeCell ref="A116:E116"/>
    <mergeCell ref="A105:E105"/>
    <mergeCell ref="A106:E106"/>
    <mergeCell ref="A107:E107"/>
    <mergeCell ref="A108:E108"/>
    <mergeCell ref="A109:E109"/>
    <mergeCell ref="A110:E110"/>
    <mergeCell ref="A99:E99"/>
    <mergeCell ref="A100:E100"/>
    <mergeCell ref="A101:E101"/>
    <mergeCell ref="A102:E102"/>
    <mergeCell ref="A103:E103"/>
    <mergeCell ref="A104:E104"/>
    <mergeCell ref="A111:E111"/>
    <mergeCell ref="A112:E112"/>
    <mergeCell ref="A113:E113"/>
    <mergeCell ref="A114:E114"/>
    <mergeCell ref="A115:E115"/>
    <mergeCell ref="A143:E143"/>
    <mergeCell ref="A144:E144"/>
    <mergeCell ref="A135:E135"/>
    <mergeCell ref="A136:E136"/>
    <mergeCell ref="A137:E137"/>
    <mergeCell ref="A138:E138"/>
    <mergeCell ref="A139:E139"/>
    <mergeCell ref="A140:E140"/>
    <mergeCell ref="A129:E129"/>
    <mergeCell ref="A130:E130"/>
    <mergeCell ref="A131:E131"/>
    <mergeCell ref="A132:E132"/>
    <mergeCell ref="A133:E133"/>
    <mergeCell ref="A134:E134"/>
    <mergeCell ref="A141:E141"/>
    <mergeCell ref="A142:E142"/>
    <mergeCell ref="A123:E123"/>
    <mergeCell ref="A124:E124"/>
    <mergeCell ref="A125:E125"/>
    <mergeCell ref="A126:E126"/>
    <mergeCell ref="A127:E127"/>
    <mergeCell ref="A128:E128"/>
    <mergeCell ref="A117:E117"/>
    <mergeCell ref="A118:E118"/>
    <mergeCell ref="A119:E119"/>
    <mergeCell ref="A120:E120"/>
    <mergeCell ref="A121:E121"/>
    <mergeCell ref="A122:E122"/>
  </mergeCells>
  <conditionalFormatting sqref="F15:G15">
    <cfRule type="notContainsBlanks" dxfId="129" priority="3">
      <formula>LEN(TRIM(F15))&gt;0</formula>
    </cfRule>
  </conditionalFormatting>
  <conditionalFormatting sqref="F17:G17">
    <cfRule type="notContainsBlanks" dxfId="128" priority="2">
      <formula>LEN(TRIM(F17))&gt;0</formula>
    </cfRule>
  </conditionalFormatting>
  <conditionalFormatting sqref="F19:G19">
    <cfRule type="notContainsBlanks" dxfId="127" priority="1">
      <formula>LEN(TRIM(F19))&gt;0</formula>
    </cfRule>
  </conditionalFormatting>
  <conditionalFormatting sqref="M21:O22">
    <cfRule type="notContainsBlanks" dxfId="126" priority="10">
      <formula>LEN(TRIM(M21))&gt;0</formula>
    </cfRule>
  </conditionalFormatting>
  <conditionalFormatting sqref="P5">
    <cfRule type="timePeriod" dxfId="125" priority="17" stopIfTrue="1" timePeriod="today">
      <formula>FLOOR(P5,1)=TODAY()</formula>
    </cfRule>
  </conditionalFormatting>
  <conditionalFormatting sqref="P14:P20">
    <cfRule type="notContainsBlanks" dxfId="124" priority="4">
      <formula>LEN(TRIM(P14))&gt;0</formula>
    </cfRule>
  </conditionalFormatting>
  <dataValidations count="1">
    <dataValidation type="list" allowBlank="1" showInputMessage="1" showErrorMessage="1" sqref="B11 K11" xr:uid="{FD695E7F-F60A-E242-AF5C-4713F8387432}">
      <formula1>"Vermögend und ambulant, Vermögend und stationär, Mittellos und ambulant, Mittellos und stationär"</formula1>
    </dataValidation>
  </dataValidations>
  <pageMargins left="0.5" right="0.5" top="0.75" bottom="0.75" header="0.27777800000000002" footer="0.27777800000000002"/>
  <pageSetup scale="72"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dimension ref="A1:AB150"/>
  <sheetViews>
    <sheetView showGridLines="0" workbookViewId="0">
      <selection activeCell="A23" sqref="A23"/>
    </sheetView>
  </sheetViews>
  <sheetFormatPr baseColWidth="10" defaultColWidth="16.33203125" defaultRowHeight="20" customHeight="1"/>
  <cols>
    <col min="1" max="1" width="18.1640625" style="113" customWidth="1"/>
    <col min="2" max="2" width="5.5" style="113" customWidth="1"/>
    <col min="3" max="3" width="5.6640625" style="113" customWidth="1"/>
    <col min="4" max="4" width="4.33203125" style="113" customWidth="1"/>
    <col min="5" max="5" width="1.83203125" style="113" customWidth="1"/>
    <col min="6" max="6" width="6.6640625" style="113" customWidth="1"/>
    <col min="7" max="7" width="11.6640625" style="113" customWidth="1"/>
    <col min="8" max="8" width="12.5" style="113" customWidth="1"/>
    <col min="9" max="9" width="5.33203125" style="113" customWidth="1"/>
    <col min="10" max="10" width="6" style="113" customWidth="1"/>
    <col min="11" max="11" width="4.1640625" style="113" customWidth="1"/>
    <col min="12" max="12" width="1.5" style="113" customWidth="1"/>
    <col min="13" max="14" width="1.33203125" style="113" customWidth="1"/>
    <col min="15" max="15" width="6.1640625" style="113" customWidth="1"/>
    <col min="16" max="16" width="10.33203125" style="113" customWidth="1"/>
    <col min="17" max="17" width="5.6640625" style="113" customWidth="1"/>
    <col min="18" max="18" width="6.6640625" style="113" customWidth="1"/>
    <col min="19" max="19" width="5.83203125" style="113" customWidth="1"/>
    <col min="20" max="20" width="16.33203125" style="113" customWidth="1"/>
    <col min="21" max="21" width="16.33203125" style="113"/>
    <col min="22" max="23" width="5.83203125" style="113" customWidth="1"/>
    <col min="24" max="24" width="5.5" style="113" customWidth="1"/>
    <col min="25" max="25" width="32.6640625" style="113" customWidth="1"/>
    <col min="26" max="26" width="6.33203125" style="113" customWidth="1"/>
    <col min="27" max="27" width="4.6640625" style="430" customWidth="1"/>
    <col min="28" max="28" width="33.6640625" style="113" customWidth="1"/>
    <col min="29" max="16384" width="16.33203125" style="113"/>
  </cols>
  <sheetData>
    <row r="1" spans="1:26" ht="24" customHeight="1">
      <c r="A1" s="861" t="str">
        <f>Anleitung!A45</f>
        <v>Betreuungsbüro Max Mustermann</v>
      </c>
      <c r="B1" s="862"/>
      <c r="C1" s="862"/>
      <c r="D1" s="862"/>
      <c r="E1" s="862"/>
      <c r="F1" s="862"/>
      <c r="G1" s="862"/>
      <c r="H1" s="862"/>
      <c r="I1" s="862"/>
      <c r="J1" s="1117" t="str">
        <f>Anleitung!A47</f>
        <v xml:space="preserve">Max Mustermann
Postfach 12345
12345 Musterstadt
Tel: 052 – 40 30
Fax: 052 – 53 04 27 39 </v>
      </c>
      <c r="K1" s="864"/>
      <c r="L1" s="1118"/>
      <c r="M1" s="864"/>
      <c r="N1" s="1118"/>
      <c r="O1" s="864"/>
      <c r="P1" s="1118"/>
      <c r="Q1" s="1120" t="str">
        <f>'Aktuelle Einnahmen'!Z2</f>
        <v>Stufe C</v>
      </c>
      <c r="R1" s="1121"/>
      <c r="S1" s="1122"/>
      <c r="T1" s="110"/>
    </row>
    <row r="2" spans="1:26" ht="66" customHeight="1" thickBot="1">
      <c r="A2" s="908" t="str">
        <f>IFERROR(VLOOKUP(G3,'Aktuelle Einnahmen'!A2:B125,2,0),"")</f>
        <v>Amtsgericht XXX
Betreuungsgericht
Postfach XXX</v>
      </c>
      <c r="B2" s="866"/>
      <c r="C2" s="866"/>
      <c r="D2" s="866"/>
      <c r="E2" s="866"/>
      <c r="F2" s="866"/>
      <c r="G2" s="866"/>
      <c r="H2" s="866"/>
      <c r="I2" s="866"/>
      <c r="J2" s="1119"/>
      <c r="K2" s="866"/>
      <c r="L2" s="1119"/>
      <c r="M2" s="866"/>
      <c r="N2" s="1119"/>
      <c r="O2" s="866"/>
      <c r="P2" s="1119"/>
      <c r="Q2" s="116">
        <f>DATE(K5,J5,N3)</f>
        <v>44161</v>
      </c>
      <c r="R2" s="117">
        <f>DATE(YEAR(Q2)+INT((MONTH(Q2)+(C13-1)*3-1)/12),MOD(MONTH(Q2)+(C13-1)*3-1,12)+1,DAY(Q2))</f>
        <v>45256</v>
      </c>
      <c r="S2" s="444"/>
      <c r="T2" s="110"/>
    </row>
    <row r="3" spans="1:26" ht="22" customHeight="1" thickBot="1">
      <c r="A3" s="445" t="s">
        <v>78</v>
      </c>
      <c r="B3" s="392">
        <v>2</v>
      </c>
      <c r="C3" s="883" t="str">
        <f>IF(OR(R19=1,R19=2,R19=3),"/ Q1",IF(OR(R19=4,R19=5,R19=6),"/ Q2",IF(OR(R19=7,R19=8,R19=9),"/ Q3","/ Q4")))&amp;" "&amp;S19</f>
        <v>/ Q1 2024</v>
      </c>
      <c r="D3" s="884"/>
      <c r="E3" s="884"/>
      <c r="F3" s="884"/>
      <c r="G3" s="144" t="str">
        <f>IFERROR(VLOOKUP(B3,'Aktuelle Einnahmen'!A2:H104,8,0),"")</f>
        <v>A1</v>
      </c>
      <c r="H3" s="119"/>
      <c r="I3" s="1214" t="s">
        <v>219</v>
      </c>
      <c r="J3" s="1214"/>
      <c r="K3" s="1214"/>
      <c r="L3" s="1214"/>
      <c r="M3" s="1214"/>
      <c r="N3" s="518">
        <f>I5+1</f>
        <v>26</v>
      </c>
      <c r="O3" s="1123" t="s">
        <v>142</v>
      </c>
      <c r="P3" s="1124"/>
      <c r="Q3" s="1125"/>
      <c r="R3" s="1126">
        <f>IF(ISNUMBER(T3), T3, 'Aktuelle Einnahmen'!D$4)</f>
        <v>45369</v>
      </c>
      <c r="S3" s="1127"/>
      <c r="T3" s="1206" t="str">
        <f>IF(OR(ISBLANK(V3), ISBLANK(W3), ISBLANK(X3)), "", DATE(100+X3, W3, V3))</f>
        <v/>
      </c>
      <c r="U3" s="1207"/>
      <c r="V3" s="732">
        <v>15</v>
      </c>
      <c r="W3" s="332"/>
      <c r="X3" s="733">
        <v>22</v>
      </c>
      <c r="Y3" s="1084" t="s">
        <v>140</v>
      </c>
      <c r="Z3" s="1086"/>
    </row>
    <row r="4" spans="1:26" ht="20" customHeight="1">
      <c r="A4" s="445" t="s">
        <v>9</v>
      </c>
      <c r="B4" s="894" t="s">
        <v>10</v>
      </c>
      <c r="C4" s="889"/>
      <c r="D4" s="889"/>
      <c r="E4" s="889"/>
      <c r="F4" s="889"/>
      <c r="G4" s="894" t="s">
        <v>17</v>
      </c>
      <c r="H4" s="889"/>
      <c r="I4" s="145" t="s">
        <v>18</v>
      </c>
      <c r="J4" s="145" t="s">
        <v>5</v>
      </c>
      <c r="K4" s="1215" t="s">
        <v>19</v>
      </c>
      <c r="L4" s="1215"/>
      <c r="M4" s="1215"/>
      <c r="N4" s="155"/>
      <c r="O4" s="320">
        <f>P4+1</f>
        <v>44161</v>
      </c>
      <c r="P4" s="391">
        <f>DATE(K5,J5,I5)</f>
        <v>44160</v>
      </c>
      <c r="Q4" s="1095" t="s">
        <v>20</v>
      </c>
      <c r="R4" s="856"/>
      <c r="S4" s="1096"/>
      <c r="T4" s="725" t="str">
        <f>C13&amp;". Quartal"</f>
        <v>13. Quartal</v>
      </c>
      <c r="U4" s="110"/>
    </row>
    <row r="5" spans="1:26" ht="22" customHeight="1">
      <c r="A5" s="626" t="str">
        <f>IFERROR(VLOOKUP(B3,'Aktuelle Einnahmen'!A2:G104,2,0),"")</f>
        <v>Benjamin</v>
      </c>
      <c r="B5" s="1097" t="str">
        <f>IFERROR(VLOOKUP(B3,'Aktuelle Einnahmen'!A2:G104,3,0),"")</f>
        <v>Brown</v>
      </c>
      <c r="C5" s="893"/>
      <c r="D5" s="893"/>
      <c r="E5" s="893"/>
      <c r="F5" s="893"/>
      <c r="G5" s="892" t="str">
        <f>IFERROR(VLOOKUP(B3,'Aktuelle Einnahmen'!A2:G104,4,0),"")</f>
        <v>10 XVII 834 / 19 B</v>
      </c>
      <c r="H5" s="893"/>
      <c r="I5" s="627">
        <f>IFERROR(VLOOKUP(B3,'Aktuelle Einnahmen'!A2:G104,5,0),"")</f>
        <v>25</v>
      </c>
      <c r="J5" s="627">
        <f>IFERROR(VLOOKUP(B3,'Aktuelle Einnahmen'!A2:G104,6,0),"")</f>
        <v>11</v>
      </c>
      <c r="K5" s="967">
        <f>IFERROR(VLOOKUP(B3,'Aktuelle Einnahmen'!A2:G104,7,0)+2000,"")</f>
        <v>2020</v>
      </c>
      <c r="L5" s="967"/>
      <c r="M5" s="967"/>
      <c r="O5" s="721"/>
      <c r="P5" s="631" t="s">
        <v>21</v>
      </c>
      <c r="Q5" s="629">
        <f>IF(OR( A11="Übernahme von ehrenamtlichen Betreuer", A11="Übernahme von Berufsbetreuer"), B26+1, DAY(T5))</f>
        <v>6</v>
      </c>
      <c r="R5" s="629">
        <f>IF(OR( A11="Übernahme von ehrenamtlichen Betreuer", A11="Übernahme von Berufsbetreuer"), C26, MONTH(T5))</f>
        <v>12</v>
      </c>
      <c r="S5" s="630">
        <f>IF(OR( A11="Übernahme von ehrenamtlichen Betreuer", A11="Übernahme von Berufsbetreuer"), D26+2000, YEAR(T5))</f>
        <v>2023</v>
      </c>
      <c r="T5" s="722">
        <f>EDATE(O4, V5*3)</f>
        <v>45256</v>
      </c>
      <c r="V5" s="724">
        <f>C13-1</f>
        <v>12</v>
      </c>
    </row>
    <row r="6" spans="1:26" ht="8" hidden="1" customHeight="1">
      <c r="A6" s="643"/>
      <c r="B6" s="906"/>
      <c r="C6" s="907"/>
      <c r="D6" s="907"/>
      <c r="E6" s="907"/>
      <c r="F6" s="907"/>
      <c r="G6" s="906"/>
      <c r="H6" s="907"/>
      <c r="I6" s="635"/>
      <c r="J6" s="123"/>
      <c r="K6" s="123"/>
      <c r="L6" s="906"/>
      <c r="M6" s="907"/>
      <c r="N6" s="907"/>
      <c r="O6" s="1156"/>
      <c r="P6" s="894" t="s">
        <v>22</v>
      </c>
      <c r="Q6" s="1218">
        <f>IF(OR(A11="Beendigung der Betreuung", A11="Übergabe an ehrenamtlichen Betreuer", A11="Übergabe an Berufsbetreuer"), B26, DAY(T7))</f>
        <v>25</v>
      </c>
      <c r="R6" s="1186">
        <f>IF(OR(A11="Beendigung der Betreuung", A11="Übergabe an ehrenamtlichen Betreuer", A11="Übergabe an Berufsbetreuer"), C26, MONTH(T7))</f>
        <v>2</v>
      </c>
      <c r="S6" s="875">
        <f>IF(OR(A11="Beendigung der Betreuung", A11="Übergabe an ehrenamtlichen Betreuer", A11="Übergabe an Berufsbetreuer"), D26+2000, YEAR(T7))</f>
        <v>2024</v>
      </c>
      <c r="T6" s="110"/>
    </row>
    <row r="7" spans="1:26" ht="45" customHeight="1" thickBot="1">
      <c r="A7" s="1102" t="s">
        <v>205</v>
      </c>
      <c r="B7" s="907"/>
      <c r="C7" s="907"/>
      <c r="D7" s="907"/>
      <c r="E7" s="907"/>
      <c r="F7" s="907"/>
      <c r="G7" s="907"/>
      <c r="H7" s="907"/>
      <c r="I7" s="907"/>
      <c r="J7" s="907"/>
      <c r="K7" s="907"/>
      <c r="L7" s="907"/>
      <c r="M7" s="907"/>
      <c r="N7" s="907"/>
      <c r="O7" s="1156"/>
      <c r="P7" s="889"/>
      <c r="Q7" s="1219"/>
      <c r="R7" s="1187"/>
      <c r="S7" s="1101"/>
      <c r="T7" s="722">
        <f>EDATE(O4, C13*3)-1</f>
        <v>45347</v>
      </c>
    </row>
    <row r="8" spans="1:26" ht="20" customHeight="1">
      <c r="A8" s="1188" t="str">
        <f>IF(A10="Vermögend und ambulant","Erstellung eines Festsetzungsbeschlusses, zum vom Betroffenen zu zahlenden Vergütungsbetrag.",IF(A10="Mittellos und ambulant","Erstattung meiner Vergütung aus der Staatskasse",IF(A10="Vermögend und stationär","Erstellung eines Festsetzungsbeschlusses, zum vom Betroffenen zu zahlenden Vergütungsbetrag.",IF(A10="Mittellos und stationär","Erstattung meiner Vergütung aus der Staatskasse",""))))</f>
        <v>Erstellung eines Festsetzungsbeschlusses, zum vom Betroffenen zu zahlenden Vergütungsbetrag.</v>
      </c>
      <c r="B8" s="1189"/>
      <c r="C8" s="1189"/>
      <c r="D8" s="1189"/>
      <c r="E8" s="1189"/>
      <c r="F8" s="1189"/>
      <c r="G8" s="1189"/>
      <c r="H8" s="1189"/>
      <c r="I8" s="1189"/>
      <c r="J8" s="1189"/>
      <c r="K8" s="1189"/>
      <c r="L8" s="1189"/>
      <c r="M8" s="1189"/>
      <c r="N8" s="1189"/>
      <c r="O8" s="1189"/>
      <c r="P8" s="1189"/>
      <c r="Q8" s="686"/>
      <c r="R8" s="123"/>
      <c r="S8" s="1098">
        <f>DATE(YEAR(P4),MONTH(P4)+3,DAY(P4))</f>
        <v>44252</v>
      </c>
      <c r="T8" s="1099"/>
      <c r="U8" s="1099"/>
      <c r="V8" s="1099"/>
      <c r="W8" s="110"/>
    </row>
    <row r="9" spans="1:26" ht="12" hidden="1" customHeight="1">
      <c r="A9" s="1190"/>
      <c r="B9" s="1190"/>
      <c r="C9" s="1190"/>
      <c r="D9" s="1190"/>
      <c r="E9" s="1190"/>
      <c r="F9" s="1190"/>
      <c r="G9" s="1190"/>
      <c r="H9" s="1190"/>
      <c r="I9" s="1190"/>
      <c r="J9" s="1190"/>
      <c r="K9" s="1190"/>
      <c r="L9" s="1190"/>
      <c r="M9" s="1190"/>
      <c r="N9" s="1190"/>
      <c r="O9" s="1190"/>
      <c r="P9" s="1191"/>
      <c r="Q9" s="123"/>
      <c r="R9" s="123"/>
      <c r="S9" s="123"/>
      <c r="T9" s="110"/>
    </row>
    <row r="10" spans="1:26" ht="23" customHeight="1">
      <c r="A10" s="1204" t="str">
        <f>IFERROR(VLOOKUP(B3,'Aktuelle Einnahmen'!A2:I104,9,0),"")</f>
        <v>Vermögend und stationär</v>
      </c>
      <c r="B10" s="891"/>
      <c r="C10" s="891"/>
      <c r="D10" s="891"/>
      <c r="E10" s="1205"/>
      <c r="F10" s="146"/>
      <c r="G10" s="1216" t="s">
        <v>80</v>
      </c>
      <c r="H10" s="1217"/>
      <c r="I10" s="1197">
        <f>SUM(M21)+SUM(L20)+SUM(M19)+SUM(M17)+SUM(M15)+SUM(M22)</f>
        <v>443.66666666666669</v>
      </c>
      <c r="J10" s="1198"/>
      <c r="K10" s="1198"/>
      <c r="L10" s="1198"/>
      <c r="M10" s="1199"/>
      <c r="N10" s="1211"/>
      <c r="O10" s="1212"/>
      <c r="P10" s="684"/>
      <c r="Q10" s="683"/>
      <c r="R10" s="147">
        <f>R14-J5</f>
        <v>0</v>
      </c>
      <c r="S10" s="147">
        <f>S14-K5</f>
        <v>3</v>
      </c>
      <c r="T10" s="110"/>
    </row>
    <row r="11" spans="1:26" ht="29" customHeight="1" thickBot="1">
      <c r="A11" s="1208" t="s">
        <v>217</v>
      </c>
      <c r="B11" s="1209"/>
      <c r="C11" s="1209"/>
      <c r="D11" s="1209"/>
      <c r="E11" s="1209"/>
      <c r="F11" s="1209"/>
      <c r="G11" s="1210"/>
      <c r="H11" s="682"/>
      <c r="I11" s="1176"/>
      <c r="J11" s="1177"/>
      <c r="K11" s="1177"/>
      <c r="L11" s="1177"/>
      <c r="M11" s="1175"/>
      <c r="N11" s="1174"/>
      <c r="O11" s="1175"/>
      <c r="P11" s="685"/>
      <c r="Q11" s="683"/>
      <c r="R11" s="636"/>
      <c r="S11" s="636"/>
      <c r="T11" s="110"/>
    </row>
    <row r="12" spans="1:26" ht="45" customHeight="1" thickBot="1">
      <c r="A12" s="1196" t="s">
        <v>215</v>
      </c>
      <c r="B12" s="1196"/>
      <c r="C12" s="1196"/>
      <c r="D12" s="1196"/>
      <c r="E12" s="1196"/>
      <c r="F12" s="1196"/>
      <c r="G12" s="1196"/>
      <c r="H12" s="1196"/>
      <c r="I12" s="1196"/>
      <c r="J12" s="1196"/>
      <c r="K12" s="1196"/>
      <c r="L12" s="1196"/>
      <c r="M12" s="1196"/>
      <c r="N12" s="1196"/>
      <c r="O12" s="1196"/>
      <c r="P12" s="1196"/>
      <c r="Q12" s="681"/>
      <c r="R12" s="681"/>
      <c r="S12" s="681"/>
      <c r="T12" s="110"/>
    </row>
    <row r="13" spans="1:26" ht="22" customHeight="1" thickBot="1">
      <c r="A13" s="1142" t="s">
        <v>24</v>
      </c>
      <c r="B13" s="1143"/>
      <c r="C13" s="668">
        <f>IF(ISNUMBER(V13), V13, ROUNDDOWN((DATEDIF(P4, R3, "M") ) / 3, 0))</f>
        <v>13</v>
      </c>
      <c r="D13" s="669"/>
      <c r="E13" s="669"/>
      <c r="F13" s="669"/>
      <c r="G13" s="670"/>
      <c r="H13" s="1200" t="s">
        <v>30</v>
      </c>
      <c r="I13" s="1201"/>
      <c r="J13" s="1088" t="s">
        <v>26</v>
      </c>
      <c r="K13" s="1089"/>
      <c r="L13" s="667"/>
      <c r="M13" s="671"/>
      <c r="N13" s="671"/>
      <c r="O13" s="672">
        <f>IF(Q1="Stufe C",S32,IF(Q1="Stufe A",S34,IF(Q1="Stufe B",S33)))</f>
        <v>127</v>
      </c>
      <c r="P13" s="673">
        <f>O13+P22</f>
        <v>157</v>
      </c>
      <c r="Q13" s="639" t="s">
        <v>18</v>
      </c>
      <c r="R13" s="639" t="s">
        <v>27</v>
      </c>
      <c r="S13" s="639" t="s">
        <v>19</v>
      </c>
      <c r="T13" s="110"/>
      <c r="U13" s="331" t="str">
        <f>IF(ISBLANK(V13), "", V13)</f>
        <v/>
      </c>
      <c r="V13" s="332"/>
      <c r="W13" s="1084" t="s">
        <v>139</v>
      </c>
      <c r="X13" s="1085"/>
      <c r="Y13" s="1085"/>
      <c r="Z13" s="1086"/>
    </row>
    <row r="14" spans="1:26" ht="19" customHeight="1">
      <c r="A14" s="1178" t="s">
        <v>81</v>
      </c>
      <c r="B14" s="889"/>
      <c r="C14" s="889"/>
      <c r="D14" s="889"/>
      <c r="E14" s="889"/>
      <c r="F14" s="148">
        <v>1</v>
      </c>
      <c r="G14" s="120"/>
      <c r="H14" s="1202">
        <f>S10*12+R10+1</f>
        <v>37</v>
      </c>
      <c r="I14" s="1203"/>
      <c r="J14" s="1179">
        <f>DATE(S14,R14,Q14)</f>
        <v>45256</v>
      </c>
      <c r="K14" s="898"/>
      <c r="L14" s="126">
        <f>IF(OR(A11="Übernahme von Berufsbetreuer",A11="Übernahme von ehrenamtlichen Betreuer"),IF(MONTH(J14)=MONTH(G26),7.5,0),0)</f>
        <v>0</v>
      </c>
      <c r="M14" s="1139" t="str">
        <f>IF(1+G26&lt;J16, "", IF(AND(OR(S15=2024, S15=2025)), IF(OR(A11="Übernahme von Berufsbetreuer", A11="Übernahme von ehrenamtlichen Betreuer"), IF(OR(MONTH(G26)=MONTH(J15), J15&gt;G26), 7.5, 0), 22)))</f>
        <v/>
      </c>
      <c r="N14" s="1140"/>
      <c r="O14" s="642" t="b">
        <f>IF(AND(OR(S15=2024,S15=2025)),IF(OR(A11="Beendigung der Betreuung",A11="Übergabe an Berufsbetreuer",A11="Übergabe an ehrenamtlichen Betreuer"),IF(OR(MONTH(J15)=MONTH(G26),G26&gt;J15),7.5,0),0))</f>
        <v>0</v>
      </c>
      <c r="P14" s="674" t="str">
        <f>IF(L14&gt;0,L14,"")</f>
        <v/>
      </c>
      <c r="Q14" s="640">
        <f>DAY(O4)</f>
        <v>26</v>
      </c>
      <c r="R14" s="640">
        <f>MONTH(R2)</f>
        <v>11</v>
      </c>
      <c r="S14" s="640">
        <f>YEAR(R2)</f>
        <v>2023</v>
      </c>
      <c r="T14" s="110"/>
    </row>
    <row r="15" spans="1:26" ht="19" customHeight="1">
      <c r="A15" s="911"/>
      <c r="B15" s="889"/>
      <c r="C15" s="889"/>
      <c r="D15" s="889"/>
      <c r="E15" s="889"/>
      <c r="F15" s="1138" t="str">
        <f>IF(F14=F25,"Wechselmonat","")</f>
        <v>Wechselmonat</v>
      </c>
      <c r="G15" s="889"/>
      <c r="H15" s="1203"/>
      <c r="I15" s="1203"/>
      <c r="J15" s="853">
        <f>EDATE(J14,1)-1</f>
        <v>45285</v>
      </c>
      <c r="K15" s="854"/>
      <c r="L15" s="149" t="b">
        <f>IF(J15&lt;G26+1, "0", IF(AND(OR(S15=2024, S15=2025)), IF(OR(A11="Übernahme von Berufsbetreuer", A11="Übernahme von ehrenamtlichen Betreuer"), IF(OR(MONTH(G26)=MONTH(J15), J15&gt;G26), 7.5, 0), 0)))</f>
        <v>0</v>
      </c>
      <c r="M15" s="859">
        <f>L26</f>
        <v>84.6666666666667</v>
      </c>
      <c r="N15" s="860"/>
      <c r="O15" s="860"/>
      <c r="P15" s="675" t="str">
        <f>IF(L15+O14&gt;0,L15+O14,"")</f>
        <v/>
      </c>
      <c r="Q15" s="640">
        <f>DAY(J15)</f>
        <v>25</v>
      </c>
      <c r="R15" s="641">
        <f>MONTH(J15)</f>
        <v>12</v>
      </c>
      <c r="S15" s="640">
        <f>YEAR(J15)</f>
        <v>2023</v>
      </c>
      <c r="T15" s="110"/>
    </row>
    <row r="16" spans="1:26" ht="20" customHeight="1">
      <c r="A16" s="1178" t="s">
        <v>28</v>
      </c>
      <c r="B16" s="889"/>
      <c r="C16" s="889"/>
      <c r="D16" s="889"/>
      <c r="E16" s="889"/>
      <c r="F16" s="150">
        <v>2</v>
      </c>
      <c r="G16" s="120"/>
      <c r="H16" s="1202">
        <f>H14+1</f>
        <v>38</v>
      </c>
      <c r="I16" s="1203"/>
      <c r="J16" s="855">
        <f>J15+1</f>
        <v>45286</v>
      </c>
      <c r="K16" s="856"/>
      <c r="L16" s="151" t="str">
        <f>IF(J17&gt;G26, "0", IF(AND(OR(S17=2024, S17=2025)), IF(OR(A11="Übernahme von Berufsbetreuer", A11="Übernahme von ehrenamtlichen Betreuer"), IF(OR(MONTH(G26)=MONTH(J17), J17&gt;G26), 7.5, 0), 0)))</f>
        <v>0</v>
      </c>
      <c r="M16" s="1082">
        <f>IF(AND(OR(S17=2024,S17=2025)),IF(OR(A11="Beendigung der Betreuung",A11="Übergabe an Berufsbetreuer",A11="Übergabe an ehrenamtlichen Betreuer"),IF(OR(MONTH(J17)=MONTH(G26),G26&gt;J17),7.5,0),0))</f>
        <v>0</v>
      </c>
      <c r="N16" s="1083"/>
      <c r="O16" s="1083"/>
      <c r="P16" s="676" t="str">
        <f>IF(M14=7.5, 7.5, "")</f>
        <v/>
      </c>
      <c r="Q16" s="640">
        <f>DAY(J16)</f>
        <v>26</v>
      </c>
      <c r="R16" s="641">
        <f>MONTH(J16)</f>
        <v>12</v>
      </c>
      <c r="S16" s="640">
        <f>YEAR(J16)</f>
        <v>2023</v>
      </c>
      <c r="T16" s="110"/>
    </row>
    <row r="17" spans="1:20" ht="20" customHeight="1">
      <c r="A17" s="911"/>
      <c r="B17" s="889"/>
      <c r="C17" s="889"/>
      <c r="D17" s="889"/>
      <c r="E17" s="889"/>
      <c r="F17" s="1138" t="str">
        <f>IF(F16=F25,"Wechselmonat","")</f>
        <v/>
      </c>
      <c r="G17" s="889"/>
      <c r="H17" s="1203"/>
      <c r="I17" s="1203"/>
      <c r="J17" s="855">
        <f>EDATE(J14,2)-1</f>
        <v>45316</v>
      </c>
      <c r="K17" s="856"/>
      <c r="L17" s="129">
        <f>IF(J17&lt;G26+1, "0", IF(AND(OR(S17=2024, S17=2025)), IF(OR(A11="Übernahme von Berufsbetreuer", A11="Übernahme von ehrenamtlichen Betreuer"), IF(OR(MONTH(G26)=MONTH(J17), J17&gt;G26), 7.5, 0), 0)))</f>
        <v>7.5</v>
      </c>
      <c r="M17" s="914">
        <f>M26</f>
        <v>127</v>
      </c>
      <c r="N17" s="860"/>
      <c r="O17" s="860"/>
      <c r="P17" s="675">
        <f>IF(L17+M16&gt;0,L17+M16,"")</f>
        <v>7.5</v>
      </c>
      <c r="Q17" s="640">
        <f>DAY(J17)</f>
        <v>25</v>
      </c>
      <c r="R17" s="641">
        <f>MONTH(J17)</f>
        <v>1</v>
      </c>
      <c r="S17" s="640">
        <f>YEAR(J17)</f>
        <v>2024</v>
      </c>
      <c r="T17" s="110"/>
    </row>
    <row r="18" spans="1:20" ht="19" customHeight="1">
      <c r="A18" s="1178" t="s">
        <v>29</v>
      </c>
      <c r="B18" s="889"/>
      <c r="C18" s="889"/>
      <c r="D18" s="889"/>
      <c r="E18" s="889"/>
      <c r="F18" s="150">
        <v>3</v>
      </c>
      <c r="G18" s="152"/>
      <c r="H18" s="1202">
        <f>H14+2</f>
        <v>39</v>
      </c>
      <c r="I18" s="1203"/>
      <c r="J18" s="855">
        <f>J17+1</f>
        <v>45317</v>
      </c>
      <c r="K18" s="856"/>
      <c r="L18" s="151"/>
      <c r="M18" s="1079">
        <f>IF(AND(OR(S19=2024,S19=2025)),IF(OR(A11="Beendigung der Betreuung",A11="Übergabe an Berufsbetreuer",A11="Übergabe an ehrenamtlichen Betreuer"),IF(OR(MONTH(J19)=MONTH(G26),G26&gt;J19),7.5,0),0))</f>
        <v>0</v>
      </c>
      <c r="N18" s="1080"/>
      <c r="O18" s="1080"/>
      <c r="P18" s="676" t="str">
        <f>IF(L16=7.5, 7.5, "")</f>
        <v/>
      </c>
      <c r="Q18" s="640">
        <f>DAY(J18)</f>
        <v>26</v>
      </c>
      <c r="R18" s="641">
        <f>MONTH(J18)</f>
        <v>1</v>
      </c>
      <c r="S18" s="640">
        <f>YEAR(J18)</f>
        <v>2024</v>
      </c>
      <c r="T18" s="110"/>
    </row>
    <row r="19" spans="1:20" ht="20" customHeight="1">
      <c r="A19" s="911"/>
      <c r="B19" s="889"/>
      <c r="C19" s="889"/>
      <c r="D19" s="889"/>
      <c r="E19" s="889"/>
      <c r="F19" s="1138" t="str">
        <f>IF(F18=F25,"Wechselmonat","")</f>
        <v/>
      </c>
      <c r="G19" s="889"/>
      <c r="H19" s="1203"/>
      <c r="I19" s="1203"/>
      <c r="J19" s="855">
        <f>EDATE(J14,3)-1</f>
        <v>45347</v>
      </c>
      <c r="K19" s="856"/>
      <c r="L19" s="129">
        <f>IF(J19&lt;G26,"0",IF(AND(OR(S19=2024,S19=2025)),IF(OR(A11="Übernahme von Berufsbetreuer",A11="Übernahme von ehrenamtlichen Betreuer"),IF(OR(MONTH(G26)=MONTH(J19),J19&gt;G26),7.5,0),0)))</f>
        <v>7.5</v>
      </c>
      <c r="M19" s="914">
        <f>M25</f>
        <v>127</v>
      </c>
      <c r="N19" s="860"/>
      <c r="O19" s="860"/>
      <c r="P19" s="675">
        <f>IF(L19+M18&gt;0,L19+M18,"")</f>
        <v>7.5</v>
      </c>
      <c r="Q19" s="640">
        <f>DAY(J19)</f>
        <v>25</v>
      </c>
      <c r="R19" s="641">
        <f>MONTH(J19)</f>
        <v>2</v>
      </c>
      <c r="S19" s="640">
        <f>YEAR(J19)</f>
        <v>2024</v>
      </c>
      <c r="T19" s="110"/>
    </row>
    <row r="20" spans="1:20" ht="20" customHeight="1">
      <c r="A20" s="1180" t="str">
        <f>IF(ISNUMBER(P20),"Inflationsprämie laut Bundesratsbeschluss vom 15.12.2023 7,50 EUR pro Monat:","")</f>
        <v>Inflationsprämie laut Bundesratsbeschluss vom 15.12.2023 7,50 EUR pro Monat:</v>
      </c>
      <c r="B20" s="889"/>
      <c r="C20" s="889"/>
      <c r="D20" s="889"/>
      <c r="E20" s="889"/>
      <c r="F20" s="889"/>
      <c r="G20" s="889"/>
      <c r="H20" s="889"/>
      <c r="I20" s="889"/>
      <c r="J20" s="889"/>
      <c r="K20" s="1147"/>
      <c r="L20" s="153">
        <f>SUM(P19)+SUM(P17)+SUM(P15)+SUM(P16)+SUM(P14)+SUM(P18)</f>
        <v>15</v>
      </c>
      <c r="M20" s="1063"/>
      <c r="N20" s="870"/>
      <c r="O20" s="1064"/>
      <c r="P20" s="687">
        <f>IF(L20&gt;0,L20,"")</f>
        <v>15</v>
      </c>
      <c r="Q20" s="637">
        <f>IF(OR(OR(S18=24,S18=25),OR(S19=24,S19=25)),7,0)</f>
        <v>0</v>
      </c>
      <c r="R20" s="638" t="str">
        <f>P16</f>
        <v/>
      </c>
      <c r="S20" s="680" t="str">
        <f>IF(AND(OR(S15=2024, S15=2025)), IF(OR(A11="Beendigung der Betreuung", A11="Übergabe an Berufsbetreuer", A11="Übergabe an ehrenamtlichen Betreuer"), IF(OR(MONTH(J15)=MONTH(G26), G26&gt;J15), 7.5, 0), 0), IF(J15&lt;G26, 0, ""))</f>
        <v/>
      </c>
      <c r="T20" s="110"/>
    </row>
    <row r="21" spans="1:20" ht="19" customHeight="1">
      <c r="A21" s="1146" t="str">
        <f>IF(A11="Übergabe an ehrenamtlichen Betreuer","1,5-fache Fallpauschale:",IF(A11="Übernahme von ehrenamtlichen Betreuer","Übernahme aus Ehrenamt: Einmalig 200,00 EUR zu Beginn der Betreuung:",""))</f>
        <v/>
      </c>
      <c r="B21" s="889"/>
      <c r="C21" s="889"/>
      <c r="D21" s="889"/>
      <c r="E21" s="889"/>
      <c r="F21" s="889"/>
      <c r="G21" s="889"/>
      <c r="H21" s="889"/>
      <c r="I21" s="889"/>
      <c r="J21" s="889"/>
      <c r="K21" s="1147"/>
      <c r="L21" s="688" t="str">
        <f>IF(OR(A11="Übernahme von ehrenamtlichen Betreuer", A11="Übergabe an ehrenamtlichen Betreuer"), IF(A11="Übernahme von ehrenamtlichen Betreuer", 200, O13*1.5), "")</f>
        <v/>
      </c>
      <c r="M21" s="1145" t="str">
        <f>IF(L21&gt;0,L21,"")</f>
        <v/>
      </c>
      <c r="N21" s="1068"/>
      <c r="O21" s="1068"/>
      <c r="P21" s="677"/>
      <c r="Q21" s="154">
        <f>IF(ISNUMBER(P22), IF(P22 &gt; 0, P22 * Q22, ""), "")</f>
        <v>0</v>
      </c>
      <c r="R21" s="155"/>
      <c r="S21" s="680">
        <f>IF(OR(S14=24,S14=25),IF(OR(A11="Übernahme von ehrenamtlichen Betreuer",A11="Übernahme von Berufsbetreuer"),7,0),0)</f>
        <v>0</v>
      </c>
      <c r="T21" s="110"/>
    </row>
    <row r="22" spans="1:20" ht="19" customHeight="1" thickBot="1">
      <c r="A22" s="1181" t="str">
        <f>IF(M22=90,"Ferner wird eine gesonderte Pauschale gem. § 10 VBVG geltend gemacht.",IF(M22=30,"Ferner wird eine gesonderte Pauschale gem. § 510 VBVG geltend gemacht.",IF(M22=60,"Ferner wird eine gesonderte Pauschale gem. § 10 VBVG geltend gemacht.","")))</f>
        <v>Ferner wird eine gesonderte Pauschale gem. § 10 VBVG geltend gemacht.</v>
      </c>
      <c r="B22" s="1182"/>
      <c r="C22" s="1182"/>
      <c r="D22" s="1183"/>
      <c r="E22" s="1182"/>
      <c r="F22" s="1182"/>
      <c r="G22" s="1183"/>
      <c r="H22" s="1182"/>
      <c r="I22" s="1182"/>
      <c r="J22" s="1183"/>
      <c r="K22" s="1184"/>
      <c r="L22" s="689">
        <f>IFERROR(VLOOKUP(B3,'Aktuelle Einnahmen'!A2:AF104,30,0),"")</f>
        <v>1</v>
      </c>
      <c r="M22" s="1071">
        <f>IF(OR(A11="Beendigung der Betreuung", A11="Übergabe an ehrenamtlichen Betreuer", A11="Übergabe an Berufsbetreuer"), IF(Q21&lt;&gt;0, Q21, ""), IF(OR(A11="Übernahme von ehrenamtlichen Betreuer", A11="Übernahme von Berufsbetreuer"), IF(R22&lt;&gt;0, R22, ""), ""))</f>
        <v>90</v>
      </c>
      <c r="N22" s="1072"/>
      <c r="O22" s="1072"/>
      <c r="P22" s="678">
        <f>IF(L22=0,"",30)</f>
        <v>30</v>
      </c>
      <c r="Q22" s="679">
        <f>IF(F25=1,0,IF(F25=2,1,IF(F25=3,2,"")))</f>
        <v>0</v>
      </c>
      <c r="R22" s="154">
        <f>IF(ISNUMBER(P22), IF(P22 &gt; 0, P22 * S22, ""), "")</f>
        <v>90</v>
      </c>
      <c r="S22" s="154">
        <f>IF(F25=1,3,IF(F25=2,2,IF(F25=3,1,"")))</f>
        <v>3</v>
      </c>
      <c r="T22" s="110"/>
    </row>
    <row r="23" spans="1:20" ht="26" customHeight="1" thickBot="1">
      <c r="A23" s="665"/>
      <c r="B23" s="1144" t="str">
        <f>IF(F25=0, "Das Datum vom Wechsel muss im Bereich des Betreuungsquartals gewählt werden", "")</f>
        <v/>
      </c>
      <c r="C23" s="1144"/>
      <c r="D23" s="1144"/>
      <c r="E23" s="1144"/>
      <c r="F23" s="1144"/>
      <c r="G23" s="1144"/>
      <c r="H23" s="1144"/>
      <c r="I23" s="1144"/>
      <c r="J23" s="1144"/>
      <c r="K23" s="1144"/>
      <c r="L23" s="1144"/>
      <c r="M23" s="1144"/>
      <c r="N23" s="1144"/>
      <c r="O23" s="1144"/>
      <c r="P23" s="1144"/>
      <c r="Q23" s="1144"/>
      <c r="R23" s="1144"/>
      <c r="S23" s="1144"/>
      <c r="T23" s="110"/>
    </row>
    <row r="24" spans="1:20" ht="22" customHeight="1">
      <c r="A24" s="1153" t="s">
        <v>79</v>
      </c>
      <c r="B24" s="1154"/>
      <c r="C24" s="1154"/>
      <c r="D24" s="1154"/>
      <c r="E24" s="1154"/>
      <c r="F24" s="1154"/>
      <c r="G24" s="1154"/>
      <c r="H24" s="1154"/>
      <c r="I24" s="1154"/>
      <c r="J24" s="1154"/>
      <c r="K24" s="1154"/>
      <c r="L24" s="1154"/>
      <c r="M24" s="1154"/>
      <c r="N24" s="1154"/>
      <c r="O24" s="1154"/>
      <c r="P24" s="1154"/>
      <c r="Q24" s="1154"/>
      <c r="R24" s="1154"/>
      <c r="S24" s="1155"/>
      <c r="T24" s="110"/>
    </row>
    <row r="25" spans="1:20" ht="21" customHeight="1">
      <c r="A25" s="1048" t="str">
        <f>IF(A11="Beendigung der Betreuung","Beendigung im",IF(A11="Übergabe an Berufsbetreuer","Übergabe im",IF(A11="Übergabe an ehrenamtlichen Betreuer","Übergabe im",IF(A11="Übernahme von Berufsbetreuer","Übernahme im",IF(A11="Übernahme von ehrenamtlichen Betreuer","Übernahme im","")))))</f>
        <v>Übernahme im</v>
      </c>
      <c r="B25" s="1049"/>
      <c r="C25" s="1050" t="s">
        <v>27</v>
      </c>
      <c r="D25" s="1051"/>
      <c r="E25" s="1052"/>
      <c r="F25" s="659">
        <f>SUM(G25,H25,I25)</f>
        <v>1</v>
      </c>
      <c r="G25" s="381">
        <f>IF(OR(AND(J15&gt;G26,J14&lt;G26),J14=G26,J15=G26),1,"")</f>
        <v>1</v>
      </c>
      <c r="H25" s="382" t="str">
        <f>IF(OR(AND(J17&gt;G26,J16&lt;G26),J16=G26,J17=G26),2,"")</f>
        <v/>
      </c>
      <c r="I25" s="382" t="str">
        <f>IF(OR(AND(J19&gt;G26,J18&lt;G26),J18=G26,J19=G26),3,"")</f>
        <v/>
      </c>
      <c r="J25" s="156"/>
      <c r="K25" s="607">
        <f>F25</f>
        <v>1</v>
      </c>
      <c r="L25" s="156"/>
      <c r="M25" s="158">
        <f>IF(K25=2,""&amp;D39&amp;"")+IF(K25=3,""&amp;P42&amp;"")+IF(K25=1,""&amp;D39&amp;"")</f>
        <v>127</v>
      </c>
      <c r="N25" s="1053"/>
      <c r="O25" s="1054"/>
      <c r="P25" s="1055"/>
      <c r="Q25" s="158"/>
      <c r="R25" s="159"/>
      <c r="S25" s="449"/>
      <c r="T25" s="110"/>
    </row>
    <row r="26" spans="1:20" ht="21" customHeight="1">
      <c r="A26" s="657" t="str">
        <f>IF(A11="Beendigung der Betreuung", "Beendigung am:", IF(OR(A11="Übergabe an ehrenamtlichen Betreuer", A11="Übergabe an Berufsbetreuer"), "Übergabe am:", IF(OR(A11="Übernahme von ehrenamtlichen Betreuer", A11="Übernahme von Berufsbetreuer"), "Übernahme am:", "")))</f>
        <v>Übernahme am:</v>
      </c>
      <c r="B26" s="608">
        <v>5</v>
      </c>
      <c r="C26" s="608">
        <v>12</v>
      </c>
      <c r="D26" s="1056">
        <v>23</v>
      </c>
      <c r="E26" s="1172"/>
      <c r="F26" s="138"/>
      <c r="G26" s="160">
        <f>DATE(D26+2000,C26,B26)</f>
        <v>45265</v>
      </c>
      <c r="H26" s="160">
        <f>DATE(S14,R14,Q14)</f>
        <v>45256</v>
      </c>
      <c r="I26" s="154"/>
      <c r="J26" s="161"/>
      <c r="K26" s="161"/>
      <c r="L26" s="162">
        <f>IF(K25=3,""&amp;D34&amp;"")+IF(K25=2,""&amp;D34&amp;"")+IF(K25=1,""&amp;P42&amp;"")</f>
        <v>84.6666666666667</v>
      </c>
      <c r="M26" s="162">
        <f>IF(K25=2,""&amp;P42&amp;"")+IF(K25=3,""&amp;D34&amp;"")+IF(K25=1,""&amp;D39&amp;"")</f>
        <v>127</v>
      </c>
      <c r="N26" s="161"/>
      <c r="O26" s="161"/>
      <c r="P26" s="161"/>
      <c r="Q26" s="162"/>
      <c r="R26" s="383"/>
      <c r="S26" s="451"/>
      <c r="T26" s="110"/>
    </row>
    <row r="27" spans="1:20" ht="20" customHeight="1">
      <c r="A27" s="655"/>
      <c r="B27" s="110"/>
      <c r="C27" s="110"/>
      <c r="D27" s="110"/>
      <c r="E27" s="658"/>
      <c r="F27" s="110"/>
      <c r="G27" s="110"/>
      <c r="H27" s="110"/>
      <c r="I27" s="110"/>
      <c r="J27" s="110"/>
      <c r="K27" s="110"/>
      <c r="L27" s="110"/>
      <c r="M27" s="110"/>
      <c r="N27" s="110"/>
      <c r="O27" s="110"/>
      <c r="P27" s="110"/>
      <c r="Q27" s="110"/>
      <c r="R27" s="110"/>
      <c r="S27" s="656"/>
    </row>
    <row r="28" spans="1:20" ht="20" customHeight="1">
      <c r="A28" s="614" t="s">
        <v>216</v>
      </c>
      <c r="B28" s="611"/>
      <c r="C28" s="611"/>
      <c r="D28" s="1152">
        <f>IF(OR(A11="Beendigung der Betreuung", A11="Übergabe an ehrenamtlichen Betreuer", A11="Übergabe an Berufsbetreuer"), D32, IF(OR(A11="Übernahme von ehrenamtlichen Betreuer", A11="Übernahme von Berufsbetreuer"), D37, ""))</f>
        <v>127</v>
      </c>
      <c r="E28" s="1152"/>
      <c r="F28" s="596" t="s">
        <v>13</v>
      </c>
      <c r="G28" s="1151"/>
      <c r="H28" s="1151"/>
      <c r="I28" s="1151"/>
      <c r="J28" s="592"/>
      <c r="K28" s="592"/>
      <c r="L28" s="592"/>
      <c r="M28" s="592"/>
      <c r="N28" s="592"/>
      <c r="O28" s="592"/>
      <c r="P28" s="592"/>
      <c r="Q28" s="592"/>
      <c r="R28" s="592"/>
      <c r="S28" s="593"/>
      <c r="T28" s="110"/>
    </row>
    <row r="29" spans="1:20" ht="20" customHeight="1">
      <c r="A29" s="620"/>
      <c r="B29" s="621"/>
      <c r="C29" s="621"/>
      <c r="D29" s="621"/>
      <c r="E29" s="612"/>
      <c r="F29" s="598" t="s">
        <v>212</v>
      </c>
      <c r="G29" s="616">
        <f>IF(OR(A11="Beendigung der Betreuung", A11="Übergabe an ehrenamtlichen Betreuer", A11="Übergabe an Berufsbetreuer"), G34, IF(OR(A11="Übernahme von ehrenamtlichen Betreuer", A11="Übernahme von Berufsbetreuer"), G39, ""))</f>
        <v>45266</v>
      </c>
      <c r="H29" s="612"/>
      <c r="I29" s="612"/>
      <c r="J29" s="612"/>
      <c r="K29" s="612"/>
      <c r="L29" s="612"/>
      <c r="M29" s="612"/>
      <c r="N29" s="612"/>
      <c r="O29" s="612"/>
      <c r="P29" s="612"/>
      <c r="Q29" s="592"/>
      <c r="R29" s="592"/>
      <c r="S29" s="593"/>
      <c r="T29" s="110"/>
    </row>
    <row r="30" spans="1:20" ht="20" customHeight="1">
      <c r="A30" s="620"/>
      <c r="B30" s="621"/>
      <c r="C30" s="621"/>
      <c r="D30" s="621"/>
      <c r="E30" s="612"/>
      <c r="F30" s="615" t="s">
        <v>213</v>
      </c>
      <c r="G30" s="616">
        <f>IF(OR(A11="Beendigung der Betreuung", A11="Übergabe an ehrenamtlichen Betreuer", A11="Übergabe an Berufsbetreuer"), G35, IF(OR(A11="Übernahme von ehrenamtlichen Betreuer", A11="Übernahme von Berufsbetreuer"), G40, ""))</f>
        <v>45285</v>
      </c>
      <c r="H30" s="617">
        <f>D28</f>
        <v>127</v>
      </c>
      <c r="I30" s="618" t="s">
        <v>221</v>
      </c>
      <c r="J30" s="622">
        <f>IF(OR(A11="Beendigung der Betreuung", A11="Übergabe an ehrenamtlichen Betreuer", A11="Übergabe an Berufsbetreuer"), J35, IF(OR(A11="Übernahme von ehrenamtlichen Betreuer", A11="Übernahme von Berufsbetreuer"), J40, ""))</f>
        <v>20</v>
      </c>
      <c r="K30" s="618" t="s">
        <v>220</v>
      </c>
      <c r="L30" s="1148">
        <v>30</v>
      </c>
      <c r="M30" s="1149"/>
      <c r="N30" s="1150" t="s">
        <v>214</v>
      </c>
      <c r="O30" s="1150"/>
      <c r="P30" s="619">
        <f>IF(OR(A11="Beendigung der Betreuung", A11="Übergabe an ehrenamtlichen Betreuer", A11="Übergabe an Berufsbetreuer"), P35, IF(OR(A11="Übernahme von ehrenamtlichen Betreuer", A11="Übernahme von Berufsbetreuer"), P40, ""))</f>
        <v>84.666666666666671</v>
      </c>
      <c r="Q30" s="592"/>
      <c r="R30" s="592"/>
      <c r="S30" s="593"/>
      <c r="T30" s="110"/>
    </row>
    <row r="31" spans="1:20" ht="10" customHeight="1">
      <c r="A31" s="620"/>
      <c r="B31" s="621"/>
      <c r="C31" s="621"/>
      <c r="D31" s="621"/>
      <c r="E31" s="612"/>
      <c r="F31" s="110"/>
      <c r="G31" s="592"/>
      <c r="H31" s="592"/>
      <c r="I31" s="592"/>
      <c r="J31" s="592"/>
      <c r="K31" s="592"/>
      <c r="L31" s="592"/>
      <c r="M31" s="592"/>
      <c r="N31" s="592"/>
      <c r="O31" s="592"/>
      <c r="P31" s="592"/>
      <c r="Q31" s="592"/>
      <c r="R31" s="592"/>
      <c r="S31" s="593"/>
      <c r="T31" s="110"/>
    </row>
    <row r="32" spans="1:20" ht="6" hidden="1" customHeight="1">
      <c r="A32" s="613" t="s">
        <v>32</v>
      </c>
      <c r="B32" s="609"/>
      <c r="C32" s="609"/>
      <c r="D32" s="1164">
        <f>IF(A11="Übernahme von Berufsbetreuer",0,IF(A11="Beendigung der Betreuung",O13,IF(A11="Übernahme von ehrenamtlichen Betreuer",0,IF(A11="Übergabe an ehrenamtlichen Betreuer",O13,IF(A11="Übergabe an Berufsbetreuer",O13)))))</f>
        <v>0</v>
      </c>
      <c r="E32" s="1018"/>
      <c r="F32" s="596" t="s">
        <v>13</v>
      </c>
      <c r="G32" s="1193" t="str">
        <f>IF(D32&lt;&gt;0,IF(P22=30,"+"&amp;P22&amp;" EUR §5a(1) = "&amp;D32+30&amp;" EUR",""),"")</f>
        <v/>
      </c>
      <c r="H32" s="1193"/>
      <c r="I32" s="1193"/>
      <c r="J32" s="542"/>
      <c r="K32" s="542"/>
      <c r="L32" s="1213"/>
      <c r="M32" s="1157"/>
      <c r="N32" s="1213"/>
      <c r="O32" s="1157"/>
      <c r="P32" s="543"/>
      <c r="Q32" s="610"/>
      <c r="R32" s="610"/>
      <c r="S32" s="781">
        <f>IF(AND(A10="Vermögend und ambulant",C13&gt;8,C13&lt;=1000),211,IF(AND(A10="Vermögend und ambulant",C13&gt;4,C13&lt;=8),257,IF(AND(A10="Vermögend und ambulant",C13&gt;2,C13&lt;=4),312,IF(AND(A10="Vermögend und ambulant",C13&gt;1,C13&lt;=2),339,IF(AND(A10="Vermögend und ambulant",C13&gt;0,C13&lt;=1),486,IF(AND(A10="Vermögend und stationär",C13&gt;8,C13&lt;=1000),127,IF(AND(A10="Vermögend und stationär",C13&gt;4,C13&lt;=8),149,IF(AND(A10="Vermögend und stationär",C13&gt;2,C13&lt;=4),229,IF(AND(A10="Vermögend und stationär",C13&gt;1,C13&lt;=2),257,IF(AND(A10="Vermögend und stationär",C13&gt;0,C13&lt;=1),327,IF(AND(A10="Mittellos und ambulant",C13&gt;8,C13&lt;=1000),171,IF(AND(A10="Mittellos und ambulant",C13&gt;4,C13&lt;=8),198,IF(AND(A10="Mittellos und ambulant",C13&gt;2,C13&lt;=4),246,IF(AND(A10="Mittellos und ambulant",C13&gt;1,C13&lt;=2),277,IF(AND(A10="Mittellos und ambulant",C13&gt;0,C13&lt;=1),339,IF(AND(A10="Mittellos und stationär",C13&gt;8,C13&lt;=1000),102,IF(AND(A10="Mittellos und stationär",C13&gt;4,C13&lt;=8),141,IF(AND(A10="Mittellos und stationär",C13&gt;2,C13&lt;=4),202,IF(AND(A10="Mittellos und stationär",C13&gt;1,C13&lt;=2),208,IF(AND(A10="Mittellos und stationär",C13&gt;0,C13&lt;=1),317,""))))))))))))))))))))</f>
        <v>127</v>
      </c>
      <c r="T32" s="110"/>
    </row>
    <row r="33" spans="1:28" ht="12" hidden="1" customHeight="1">
      <c r="A33" s="1141"/>
      <c r="B33" s="1018"/>
      <c r="C33" s="1018"/>
      <c r="D33" s="1018"/>
      <c r="E33" s="1018"/>
      <c r="F33" s="551"/>
      <c r="G33" s="597"/>
      <c r="H33" s="597"/>
      <c r="I33" s="551"/>
      <c r="J33" s="544"/>
      <c r="K33" s="544"/>
      <c r="L33" s="1170"/>
      <c r="M33" s="1157"/>
      <c r="N33" s="1170"/>
      <c r="O33" s="1157"/>
      <c r="P33" s="545"/>
      <c r="Q33" s="782"/>
      <c r="R33" s="782"/>
      <c r="S33" s="783">
        <f>IF(AND(A10="Vermögend und ambulant",C13&gt;8,C13&lt;=1000),161,IF(AND(A10="Vermögend und ambulant",C13&gt;4,C13&lt;=8),196,IF(AND(A10="Vermögend und ambulant",C13&gt;2,C13&lt;=4),238,IF(AND(A10="Vermögend und ambulant",C13&gt;1,C13&lt;=2),258,IF(AND(A10="Vermögend und ambulant",C13&gt;0,C13&lt;=1),370,IF(AND(A10="Vermögend und stationär",C13&gt;8,C13&lt;=1000),96,IF(AND(A10="Vermögend und stationär",C13&gt;4,C13&lt;=8),113,IF(AND(A10="Vermögend und stationär",C13&gt;2,C13&lt;=4),174,IF(AND(A10="Vermögend und stationär",C13&gt;1,C13&lt;=2),196,IF(AND(A10="Vermögend und stationär",C13&gt;0,C13&lt;=1),249,IF(AND(A10="Mittellos und ambulant",C13&gt;8,C13&lt;=1000),130,IF(AND(A10="Mittellos und ambulant",C13&gt;4,C13&lt;=8),151,IF(AND(A10="Mittellos und ambulant",C13&gt;2,C13&lt;=4),188,IF(AND(A10="Mittellos und ambulant",C13&gt;1,C13&lt;=2),211,IF(AND(A10="Mittellos und ambulant",C13&gt;0,C13&lt;=1),258,IF(AND(A10="Mittellos und stationär",C13&gt;8,C13&lt;=1000),78,IF(AND(A10="Mittellos und stationär",C13&gt;4,C13&lt;=8),107,IF(AND(A10="Mittellos und stationär",C13&gt;2,C13&lt;=4),154,IF(AND(A10="Mittellos und stationär",C13&gt;1,C13&lt;=2),158,IF(AND(A10="Mittellos und stationär",C13&gt;0,C13&lt;=1),241,""))))))))))))))))))))</f>
        <v>96</v>
      </c>
      <c r="T33" s="110"/>
    </row>
    <row r="34" spans="1:28" ht="5" hidden="1" customHeight="1">
      <c r="A34" s="591"/>
      <c r="B34" s="551"/>
      <c r="C34" s="551"/>
      <c r="D34" s="780">
        <f>IF(A11="Übernahme von Berufsbetreuer",0,IF(A11="Beendigung der Betreuung",O13,IF(A11="Übernahme von ehrenamtlichen Betreuer",0,IF(A11="Übergabe an ehrenamtlichen Betreuer",O13,IF(A11="Übergabe an Berufsbetreuer",O13)))))</f>
        <v>0</v>
      </c>
      <c r="E34" s="551"/>
      <c r="F34" s="598" t="s">
        <v>212</v>
      </c>
      <c r="G34" s="599">
        <f>DATE(YEAR(G42),MONTH(G42)-1,DAY(G42)+1)</f>
        <v>45256</v>
      </c>
      <c r="H34" s="600"/>
      <c r="I34" s="551"/>
      <c r="J34" s="544"/>
      <c r="K34" s="321"/>
      <c r="L34" s="1157"/>
      <c r="M34" s="1157"/>
      <c r="N34" s="1157"/>
      <c r="O34" s="1157"/>
      <c r="P34" s="321"/>
      <c r="Q34" s="544"/>
      <c r="R34" s="782"/>
      <c r="S34" s="783">
        <f>IF(AND(A10="Vermögend und ambulant",C13&gt;8,C13&lt;=1000),130,IF(AND(A10="Vermögend und ambulant",C13&gt;4,C13&lt;=8),158,IF(AND(A10="Vermögend und ambulant",C13&gt;2,C13&lt;=4),192,IF(AND(A10="Vermögend und ambulant",C13&gt;1,C13&lt;=2),208,IF(AND(A10="Vermögend und ambulant",C13&gt;0,C13&lt;=1),298,IF(AND(A10="Vermögend und stationär",C13&gt;8,C13&lt;=1000),78,IF(AND(A10="Vermögend und stationär",C13&gt;4,C13&lt;=8),91,IF(AND(A10="Vermögend und stationär",C13&gt;2,C13&lt;=4),140,IF(AND(A10="Vermögend und stationär",C13&gt;1,C13&lt;=2),158,IF(AND(A10="Vermögend und stationär",C13&gt;0,C13&lt;=1),200,IF(AND(A10="Mittellos und ambulant",C13&gt;8,C13&lt;=1000),105,IF(AND(A10="Mittellos und ambulant",C13&gt;4,C13&lt;=8),122,IF(AND(A10="Mittellos und ambulant",C13&gt;2,C13&lt;=4),151,IF(AND(A10="Mittellos und ambulant",C13&gt;1,C13&lt;=2),170,IF(AND(A10="Mittellos und ambulant",C13&gt;0,C13&lt;=1),208,IF(AND(A10="Mittellos und stationär",C13&gt;8,C13&lt;=1000),62,IF(AND(A10="Mittellos und stationär",C13&gt;4,C13&lt;=8),87,IF(AND(A10="Mittellos und stationär",C13&gt;2,C13&lt;=4),124,IF(AND(A10="Mittellos und stationär",C13&gt;1,C13&lt;=2),129,IF(AND(A10="Mittellos und stationär",C13&gt;0,C13&lt;=1),194,""))))))))))))))))))))</f>
        <v>78</v>
      </c>
      <c r="T34" s="110"/>
    </row>
    <row r="35" spans="1:28" ht="15" hidden="1" customHeight="1">
      <c r="A35" s="601"/>
      <c r="B35" s="551"/>
      <c r="C35" s="551"/>
      <c r="D35" s="551"/>
      <c r="E35" s="551"/>
      <c r="F35" s="598" t="s">
        <v>213</v>
      </c>
      <c r="G35" s="554">
        <f>H42-1</f>
        <v>45265</v>
      </c>
      <c r="H35" s="555">
        <f>IF(OR(P22="",ISBLANK(P22),D32=0),D32,D32+P22)</f>
        <v>0</v>
      </c>
      <c r="I35" s="397"/>
      <c r="J35" s="623">
        <f>MIN(G35-G34+1,30)</f>
        <v>10</v>
      </c>
      <c r="K35" s="602" t="s">
        <v>210</v>
      </c>
      <c r="L35" s="1029">
        <v>30</v>
      </c>
      <c r="M35" s="1018"/>
      <c r="N35" s="1185" t="s">
        <v>214</v>
      </c>
      <c r="O35" s="1185"/>
      <c r="P35" s="603">
        <f>H35*J35/L35</f>
        <v>0</v>
      </c>
      <c r="Q35" s="782"/>
      <c r="R35" s="784"/>
      <c r="S35" s="785"/>
      <c r="T35" s="110"/>
    </row>
    <row r="36" spans="1:28" ht="4" customHeight="1">
      <c r="A36" s="1031"/>
      <c r="B36" s="1157"/>
      <c r="C36" s="1157"/>
      <c r="D36" s="1157"/>
      <c r="E36" s="1157"/>
      <c r="F36" s="1157"/>
      <c r="G36" s="1157"/>
      <c r="H36" s="1157"/>
      <c r="I36" s="1157"/>
      <c r="J36" s="1157"/>
      <c r="K36" s="1157"/>
      <c r="L36" s="1157"/>
      <c r="M36" s="1157"/>
      <c r="N36" s="1157"/>
      <c r="O36" s="1157"/>
      <c r="P36" s="551"/>
      <c r="Q36" s="1157"/>
      <c r="R36" s="1157"/>
      <c r="S36" s="1192"/>
      <c r="T36" s="110"/>
    </row>
    <row r="37" spans="1:28" ht="12" hidden="1" customHeight="1">
      <c r="A37" s="613" t="s">
        <v>33</v>
      </c>
      <c r="B37" s="609"/>
      <c r="C37" s="609"/>
      <c r="D37" s="1164">
        <f>IF(A11="Beendigung der Betreuung",0,IF(A11="Übergabe an Berufsbetreuer",0,IF(A11="Übergabe an ehrenamtlichen Betreuer",0,IF(A11="Übernahme von ehrenamtlichen Betreuer",O13,IF(A11="Übernahme von Berufsbetreuer",O13)))))</f>
        <v>127</v>
      </c>
      <c r="E37" s="1173"/>
      <c r="F37" s="596" t="s">
        <v>13</v>
      </c>
      <c r="G37" s="1159"/>
      <c r="H37" s="1159"/>
      <c r="I37" s="1159"/>
      <c r="J37" s="544"/>
      <c r="K37" s="544"/>
      <c r="L37" s="1170"/>
      <c r="M37" s="1157"/>
      <c r="N37" s="1170"/>
      <c r="O37" s="1157"/>
      <c r="P37" s="594"/>
      <c r="Q37" s="782"/>
      <c r="R37" s="782"/>
      <c r="S37" s="785"/>
      <c r="T37" s="110"/>
    </row>
    <row r="38" spans="1:28" ht="1" hidden="1" customHeight="1">
      <c r="A38" s="1141"/>
      <c r="B38" s="1018"/>
      <c r="C38" s="1018"/>
      <c r="D38" s="1018"/>
      <c r="E38" s="1018"/>
      <c r="F38" s="606"/>
      <c r="G38" s="597"/>
      <c r="H38" s="551"/>
      <c r="I38" s="551"/>
      <c r="J38" s="380"/>
      <c r="K38" s="321"/>
      <c r="L38" s="1157"/>
      <c r="M38" s="1157"/>
      <c r="N38" s="1157"/>
      <c r="O38" s="1157"/>
      <c r="P38" s="594"/>
      <c r="Q38" s="782"/>
      <c r="R38" s="782"/>
      <c r="S38" s="785"/>
      <c r="T38" s="110"/>
    </row>
    <row r="39" spans="1:28" ht="15" hidden="1" customHeight="1">
      <c r="A39" s="1016"/>
      <c r="B39" s="1018"/>
      <c r="C39" s="1018"/>
      <c r="D39" s="1169">
        <f>IF(A11="Beendigung der Betreuung",0,IF(A11="Übergabe an Berufsbetreuer",0,IF(A11="Übergabe an ehrenamtlichen Betreuer",0,IF(A11="Übernahme von ehrenamtlichen Betreuer",O13,IF(A11="Übernahme von Berufsbetreuer",O13)))))</f>
        <v>127</v>
      </c>
      <c r="E39" s="1169"/>
      <c r="F39" s="598" t="s">
        <v>212</v>
      </c>
      <c r="G39" s="605">
        <f>DATE(D26+2000,C26,B26+1)</f>
        <v>45266</v>
      </c>
      <c r="H39" s="604"/>
      <c r="I39" s="551"/>
      <c r="J39" s="321"/>
      <c r="K39" s="544"/>
      <c r="L39" s="1170"/>
      <c r="M39" s="1157"/>
      <c r="N39" s="1170"/>
      <c r="O39" s="1157"/>
      <c r="P39" s="553"/>
      <c r="Q39" s="782"/>
      <c r="R39" s="782"/>
      <c r="S39" s="786"/>
      <c r="T39" s="110"/>
    </row>
    <row r="40" spans="1:28" s="719" customFormat="1" ht="1" hidden="1" customHeight="1">
      <c r="A40" s="1158"/>
      <c r="B40" s="1018"/>
      <c r="C40" s="1018"/>
      <c r="D40" s="1169"/>
      <c r="E40" s="1169"/>
      <c r="F40" s="598" t="s">
        <v>213</v>
      </c>
      <c r="G40" s="787">
        <f>DATE(YEAR(H26),MONTH(H26)+F25,DAY(H26)-1)</f>
        <v>45285</v>
      </c>
      <c r="H40" s="788">
        <f>D28</f>
        <v>127</v>
      </c>
      <c r="I40" s="602" t="s">
        <v>211</v>
      </c>
      <c r="J40" s="789">
        <f>MIN(G40-G39+1,30)</f>
        <v>20</v>
      </c>
      <c r="K40" s="602" t="s">
        <v>210</v>
      </c>
      <c r="L40" s="1029">
        <v>30</v>
      </c>
      <c r="M40" s="1018"/>
      <c r="N40" s="1168" t="s">
        <v>209</v>
      </c>
      <c r="O40" s="1169"/>
      <c r="P40" s="603">
        <f>H40*J40/L40</f>
        <v>84.666666666666671</v>
      </c>
      <c r="Q40" s="790"/>
      <c r="R40" s="791"/>
      <c r="S40" s="792">
        <f>O13</f>
        <v>127</v>
      </c>
      <c r="T40" s="568"/>
      <c r="AA40" s="720"/>
    </row>
    <row r="41" spans="1:28" s="719" customFormat="1" ht="11" customHeight="1" thickBot="1">
      <c r="A41" s="1171"/>
      <c r="B41" s="1163"/>
      <c r="C41" s="1163"/>
      <c r="D41" s="1163"/>
      <c r="E41" s="1163"/>
      <c r="F41" s="793"/>
      <c r="G41" s="794"/>
      <c r="H41" s="1167"/>
      <c r="I41" s="1163"/>
      <c r="J41" s="1163"/>
      <c r="K41" s="1162"/>
      <c r="L41" s="1163"/>
      <c r="M41" s="1163"/>
      <c r="N41" s="1163"/>
      <c r="O41" s="1163"/>
      <c r="P41" s="794"/>
      <c r="Q41" s="794"/>
      <c r="R41" s="794"/>
      <c r="S41" s="795"/>
      <c r="T41" s="568"/>
      <c r="AA41" s="720"/>
    </row>
    <row r="42" spans="1:28" ht="26" customHeight="1">
      <c r="A42" s="1194"/>
      <c r="B42" s="1091"/>
      <c r="C42" s="1091"/>
      <c r="D42" s="1091"/>
      <c r="E42" s="1195"/>
      <c r="F42" s="321"/>
      <c r="G42" s="624">
        <f>DATE(YEAR(H26),MONTH(H26)+F25,DAY(H26)-1)</f>
        <v>45285</v>
      </c>
      <c r="H42" s="625">
        <f>DATE(D26+2000,C26,B26+1)</f>
        <v>45266</v>
      </c>
      <c r="I42" s="1160"/>
      <c r="J42" s="1161"/>
      <c r="K42" s="1165"/>
      <c r="L42" s="1018"/>
      <c r="M42" s="1166"/>
      <c r="N42" s="1018"/>
      <c r="O42" s="1166"/>
      <c r="P42" s="595">
        <f>SUM(P35,P40)-IF(ISBLANK(P35),P35,0)-IF(ISBLANK(P40),P40,0)</f>
        <v>84.666666666666671</v>
      </c>
      <c r="Q42" s="574"/>
      <c r="R42" s="161"/>
      <c r="S42" s="666"/>
      <c r="T42" s="110"/>
    </row>
    <row r="43" spans="1:28" ht="101" customHeight="1">
      <c r="A43" s="951" t="s">
        <v>114</v>
      </c>
      <c r="B43" s="952"/>
      <c r="C43" s="952"/>
      <c r="D43" s="952"/>
      <c r="E43" s="952"/>
      <c r="F43" s="952"/>
      <c r="G43" s="952"/>
      <c r="H43" s="952"/>
      <c r="I43" s="952"/>
      <c r="J43" s="952"/>
      <c r="K43" s="952"/>
      <c r="L43" s="952"/>
      <c r="M43" s="952"/>
      <c r="N43" s="952"/>
      <c r="O43" s="952"/>
      <c r="P43" s="952"/>
      <c r="Q43" s="952"/>
      <c r="R43" s="952"/>
      <c r="S43" s="953"/>
      <c r="T43" s="110"/>
    </row>
    <row r="44" spans="1:28" ht="18" customHeight="1">
      <c r="A44" s="954" t="str">
        <f>Anleitung!A45</f>
        <v>Betreuungsbüro Max Mustermann</v>
      </c>
      <c r="B44" s="955"/>
      <c r="C44" s="955"/>
      <c r="D44" s="955"/>
      <c r="E44" s="955"/>
      <c r="F44" s="955"/>
      <c r="G44" s="955"/>
      <c r="H44" s="955"/>
      <c r="I44" s="955"/>
      <c r="J44" s="955"/>
      <c r="K44" s="955"/>
      <c r="L44" s="955"/>
      <c r="M44" s="955"/>
      <c r="N44" s="955"/>
      <c r="O44" s="955"/>
      <c r="P44" s="955"/>
      <c r="Q44" s="955"/>
      <c r="R44" s="955"/>
      <c r="S44" s="956"/>
      <c r="T44" s="110"/>
    </row>
    <row r="45" spans="1:28" ht="62" customHeight="1">
      <c r="A45" s="458" t="e" vm="2">
        <f>IF(Anleitung!A51&lt;&gt;"", Anleitung!A51, "")</f>
        <v>#VALUE!</v>
      </c>
      <c r="B45" s="394"/>
      <c r="C45" s="394"/>
      <c r="D45" s="388"/>
      <c r="E45" s="388"/>
      <c r="F45" s="388"/>
      <c r="G45" s="388"/>
      <c r="H45" s="388"/>
      <c r="I45" s="388"/>
      <c r="J45" s="388"/>
      <c r="K45" s="388"/>
      <c r="L45" s="388"/>
      <c r="M45" s="388"/>
      <c r="N45" s="388"/>
      <c r="O45" s="388"/>
      <c r="P45" s="388"/>
      <c r="Q45" s="388"/>
      <c r="R45" s="388"/>
      <c r="S45" s="459"/>
      <c r="T45" s="110"/>
    </row>
    <row r="46" spans="1:28" ht="20" customHeight="1" thickBot="1">
      <c r="A46" s="948" t="str">
        <f>Anleitung!A49</f>
        <v xml:space="preserve">Bankverbindung: Max Muster IBAN: DE50 1234 5678 9102 9876 54 BIC: BANK23 											</v>
      </c>
      <c r="B46" s="949"/>
      <c r="C46" s="949"/>
      <c r="D46" s="949"/>
      <c r="E46" s="949"/>
      <c r="F46" s="949"/>
      <c r="G46" s="949"/>
      <c r="H46" s="949"/>
      <c r="I46" s="949"/>
      <c r="J46" s="949"/>
      <c r="K46" s="949"/>
      <c r="L46" s="949"/>
      <c r="M46" s="949"/>
      <c r="N46" s="949"/>
      <c r="O46" s="949"/>
      <c r="P46" s="949"/>
      <c r="Q46" s="949"/>
      <c r="R46" s="949"/>
      <c r="S46" s="950"/>
      <c r="T46" s="110"/>
    </row>
    <row r="47" spans="1:28" s="439" customFormat="1" ht="12" customHeight="1">
      <c r="A47" s="441"/>
      <c r="B47" s="442"/>
      <c r="C47" s="442"/>
      <c r="D47" s="442"/>
      <c r="E47" s="442"/>
      <c r="F47" s="442"/>
      <c r="G47" s="442"/>
      <c r="H47" s="442"/>
      <c r="I47" s="442"/>
      <c r="J47" s="442"/>
      <c r="K47" s="442"/>
      <c r="L47" s="442"/>
      <c r="M47" s="442"/>
      <c r="N47" s="442"/>
      <c r="O47" s="442"/>
      <c r="P47" s="442"/>
      <c r="Q47" s="442"/>
      <c r="R47" s="442"/>
      <c r="S47" s="443"/>
      <c r="AA47" s="440"/>
    </row>
    <row r="48" spans="1:28" ht="35" customHeight="1" thickBot="1">
      <c r="A48" s="971" t="s">
        <v>156</v>
      </c>
      <c r="B48" s="971"/>
      <c r="C48" s="971"/>
      <c r="D48" s="971"/>
      <c r="E48" s="971"/>
      <c r="F48" s="971"/>
      <c r="G48" s="971"/>
      <c r="H48" s="971"/>
      <c r="I48" s="971"/>
      <c r="J48" s="971"/>
      <c r="K48" s="971"/>
      <c r="L48" s="971"/>
      <c r="M48" s="971"/>
      <c r="N48" s="971"/>
      <c r="O48" s="971"/>
      <c r="P48" s="971"/>
      <c r="Q48" s="971"/>
      <c r="R48" s="971"/>
      <c r="S48" s="971"/>
      <c r="X48" s="996" t="s">
        <v>155</v>
      </c>
      <c r="Y48" s="996"/>
      <c r="Z48" s="996"/>
      <c r="AA48" s="996"/>
      <c r="AB48" s="996"/>
    </row>
    <row r="49" spans="1:28" ht="20" customHeight="1" thickBot="1">
      <c r="A49" s="934" t="str">
        <f>IFERROR(IF(ISBLANK(VLOOKUP(F49,'Aktuelle Einnahmen'!A2:G104,3,0)),"",VLOOKUP(F49,'Aktuelle Einnahmen'!A2:G104,3,0)),"")</f>
        <v>Anderson</v>
      </c>
      <c r="B49" s="935"/>
      <c r="C49" s="935"/>
      <c r="D49" s="935"/>
      <c r="E49" s="935"/>
      <c r="F49" s="404">
        <v>1</v>
      </c>
      <c r="G49" s="984" t="str">
        <f>IFERROR(IF(ISBLANK(VLOOKUP(K49,'Aktuelle Einnahmen'!A2:G104,3,0)),"",VLOOKUP(K49,'Aktuelle Einnahmen'!A2:G104,3,0)),"")</f>
        <v/>
      </c>
      <c r="H49" s="985"/>
      <c r="I49" s="985"/>
      <c r="J49" s="986"/>
      <c r="K49" s="325">
        <v>34</v>
      </c>
      <c r="L49" s="997"/>
      <c r="M49" s="987" t="str">
        <f>IFERROR(IF(ISBLANK(VLOOKUP(S49,'Aktuelle Einnahmen'!A2:G104,3,0)),"",VLOOKUP(S49,'Aktuelle Einnahmen'!A2:G104,3,0)),"")</f>
        <v/>
      </c>
      <c r="N49" s="988"/>
      <c r="O49" s="988"/>
      <c r="P49" s="988"/>
      <c r="Q49" s="988"/>
      <c r="R49" s="989"/>
      <c r="S49" s="326">
        <v>67</v>
      </c>
      <c r="X49" s="433">
        <f>IFERROR(INDEX($F$36:$F$147, MATCH(Y49, $A$36:$A$147, 0)), "")</f>
        <v>1</v>
      </c>
      <c r="Y49" s="418" t="str" cm="1">
        <f t="array" ref="Y49:Y60">_xlfn._xlws.SORT(_xlfn._xlws.FILTER($A$49:$A$148, $A$49:$A$148&lt;&gt;""), 1, 1)</f>
        <v>Anderson</v>
      </c>
      <c r="Z49" s="419"/>
      <c r="AA49" s="435" t="str">
        <f>X99</f>
        <v/>
      </c>
      <c r="AB49" s="420" t="str">
        <f>IF(ISBLANK(Y99), "", Y99)</f>
        <v/>
      </c>
    </row>
    <row r="50" spans="1:28" ht="20" customHeight="1" thickBot="1">
      <c r="A50" s="934" t="str">
        <f>IFERROR(IF(ISBLANK(VLOOKUP(F50,'Aktuelle Einnahmen'!A3:G105,3,0)),"",VLOOKUP(F50,'Aktuelle Einnahmen'!A3:G105,3,0)),"")</f>
        <v>Brown</v>
      </c>
      <c r="B50" s="935"/>
      <c r="C50" s="935"/>
      <c r="D50" s="935"/>
      <c r="E50" s="935"/>
      <c r="F50" s="405">
        <v>2</v>
      </c>
      <c r="G50" s="984" t="str">
        <f>IFERROR(IF(ISBLANK(VLOOKUP(K50,'Aktuelle Einnahmen'!A3:G105,3,0)),"",VLOOKUP(K50,'Aktuelle Einnahmen'!A3:G105,3,0)),"")</f>
        <v/>
      </c>
      <c r="H50" s="985"/>
      <c r="I50" s="985"/>
      <c r="J50" s="986"/>
      <c r="K50" s="324">
        <v>35</v>
      </c>
      <c r="L50" s="998"/>
      <c r="M50" s="987" t="str">
        <f>IFERROR(IF(ISBLANK(VLOOKUP(S50,'Aktuelle Einnahmen'!A3:G105,3,0)),"",VLOOKUP(S50,'Aktuelle Einnahmen'!A3:G105,3,0)),"")</f>
        <v/>
      </c>
      <c r="N50" s="988"/>
      <c r="O50" s="988"/>
      <c r="P50" s="988"/>
      <c r="Q50" s="988"/>
      <c r="R50" s="989"/>
      <c r="S50" s="327">
        <v>68</v>
      </c>
      <c r="X50" s="433">
        <f t="shared" ref="X50:X113" si="0">IFERROR(INDEX($F$36:$F$147, MATCH(Y50, $A$36:$A$147, 0)), "")</f>
        <v>2</v>
      </c>
      <c r="Y50" s="408" t="str">
        <v>Brown</v>
      </c>
      <c r="Z50" s="409"/>
      <c r="AA50" s="436" t="str">
        <f t="shared" ref="AA50:AA65" si="1">X100</f>
        <v/>
      </c>
      <c r="AB50" s="421" t="str">
        <f t="shared" ref="AB50:AB97" si="2">IF(ISBLANK(Y100), "", Y100)</f>
        <v/>
      </c>
    </row>
    <row r="51" spans="1:28" ht="20" customHeight="1" thickBot="1">
      <c r="A51" s="934" t="str">
        <f>IFERROR(IF(ISBLANK(VLOOKUP(F51,'Aktuelle Einnahmen'!A4:G106,3,0)),"",VLOOKUP(F51,'Aktuelle Einnahmen'!A4:G106,3,0)),"")</f>
        <v>Carter</v>
      </c>
      <c r="B51" s="935"/>
      <c r="C51" s="935"/>
      <c r="D51" s="935"/>
      <c r="E51" s="935"/>
      <c r="F51" s="405">
        <v>3</v>
      </c>
      <c r="G51" s="984" t="str">
        <f>IFERROR(IF(ISBLANK(VLOOKUP(K51,'Aktuelle Einnahmen'!A4:G106,3,0)),"",VLOOKUP(K51,'Aktuelle Einnahmen'!A4:G106,3,0)),"")</f>
        <v/>
      </c>
      <c r="H51" s="985"/>
      <c r="I51" s="985"/>
      <c r="J51" s="986"/>
      <c r="K51" s="324">
        <v>36</v>
      </c>
      <c r="L51" s="998"/>
      <c r="M51" s="987" t="str">
        <f>IFERROR(IF(ISBLANK(VLOOKUP(S51,'Aktuelle Einnahmen'!A4:G106,3,0)),"",VLOOKUP(S51,'Aktuelle Einnahmen'!A4:G106,3,0)),"")</f>
        <v/>
      </c>
      <c r="N51" s="988"/>
      <c r="O51" s="988"/>
      <c r="P51" s="988"/>
      <c r="Q51" s="988"/>
      <c r="R51" s="989"/>
      <c r="S51" s="327">
        <v>69</v>
      </c>
      <c r="X51" s="433">
        <f t="shared" si="0"/>
        <v>3</v>
      </c>
      <c r="Y51" s="408" t="str">
        <v>Carter</v>
      </c>
      <c r="Z51" s="409"/>
      <c r="AA51" s="436" t="str">
        <f t="shared" si="1"/>
        <v/>
      </c>
      <c r="AB51" s="421" t="str">
        <f t="shared" si="2"/>
        <v/>
      </c>
    </row>
    <row r="52" spans="1:28" ht="20" customHeight="1" thickBot="1">
      <c r="A52" s="934" t="str">
        <f>IFERROR(IF(ISBLANK(VLOOKUP(F52,'Aktuelle Einnahmen'!A5:G107,3,0)),"",VLOOKUP(F52,'Aktuelle Einnahmen'!A5:G107,3,0)),"")</f>
        <v>Davis</v>
      </c>
      <c r="B52" s="935"/>
      <c r="C52" s="935"/>
      <c r="D52" s="935"/>
      <c r="E52" s="935"/>
      <c r="F52" s="405">
        <v>4</v>
      </c>
      <c r="G52" s="984" t="str">
        <f>IFERROR(IF(ISBLANK(VLOOKUP(K52,'Aktuelle Einnahmen'!A5:G107,3,0)),"",VLOOKUP(K52,'Aktuelle Einnahmen'!A5:G107,3,0)),"")</f>
        <v/>
      </c>
      <c r="H52" s="985"/>
      <c r="I52" s="985"/>
      <c r="J52" s="986"/>
      <c r="K52" s="324">
        <v>37</v>
      </c>
      <c r="L52" s="998"/>
      <c r="M52" s="987" t="str">
        <f>IFERROR(IF(ISBLANK(VLOOKUP(S52,'Aktuelle Einnahmen'!A5:G107,3,0)),"",VLOOKUP(S52,'Aktuelle Einnahmen'!A5:G107,3,0)),"")</f>
        <v/>
      </c>
      <c r="N52" s="988"/>
      <c r="O52" s="988"/>
      <c r="P52" s="988"/>
      <c r="Q52" s="988"/>
      <c r="R52" s="989"/>
      <c r="S52" s="327">
        <v>70</v>
      </c>
      <c r="X52" s="433">
        <f t="shared" si="0"/>
        <v>4</v>
      </c>
      <c r="Y52" s="408" t="str">
        <v>Davis</v>
      </c>
      <c r="Z52" s="409"/>
      <c r="AA52" s="436" t="str">
        <f t="shared" si="1"/>
        <v/>
      </c>
      <c r="AB52" s="421" t="str">
        <f t="shared" si="2"/>
        <v/>
      </c>
    </row>
    <row r="53" spans="1:28" ht="20" customHeight="1" thickBot="1">
      <c r="A53" s="934" t="str">
        <f>IFERROR(IF(ISBLANK(VLOOKUP(F53,'Aktuelle Einnahmen'!A6:G108,3,0)),"",VLOOKUP(F53,'Aktuelle Einnahmen'!A6:G108,3,0)),"")</f>
        <v>Evians</v>
      </c>
      <c r="B53" s="935"/>
      <c r="C53" s="935"/>
      <c r="D53" s="935"/>
      <c r="E53" s="935"/>
      <c r="F53" s="405">
        <v>5</v>
      </c>
      <c r="G53" s="984" t="str">
        <f>IFERROR(IF(ISBLANK(VLOOKUP(K53,'Aktuelle Einnahmen'!A6:G108,3,0)),"",VLOOKUP(K53,'Aktuelle Einnahmen'!A6:G108,3,0)),"")</f>
        <v/>
      </c>
      <c r="H53" s="985"/>
      <c r="I53" s="985"/>
      <c r="J53" s="986"/>
      <c r="K53" s="324">
        <v>38</v>
      </c>
      <c r="L53" s="998"/>
      <c r="M53" s="987" t="str">
        <f>IFERROR(IF(ISBLANK(VLOOKUP(S53,'Aktuelle Einnahmen'!A6:G108,3,0)),"",VLOOKUP(S53,'Aktuelle Einnahmen'!A6:G108,3,0)),"")</f>
        <v/>
      </c>
      <c r="N53" s="988"/>
      <c r="O53" s="988"/>
      <c r="P53" s="988"/>
      <c r="Q53" s="988"/>
      <c r="R53" s="989"/>
      <c r="S53" s="327">
        <v>71</v>
      </c>
      <c r="X53" s="433">
        <f t="shared" si="0"/>
        <v>5</v>
      </c>
      <c r="Y53" s="408" t="str">
        <v>Evians</v>
      </c>
      <c r="Z53" s="409"/>
      <c r="AA53" s="436" t="str">
        <f t="shared" si="1"/>
        <v/>
      </c>
      <c r="AB53" s="421" t="str">
        <f t="shared" si="2"/>
        <v/>
      </c>
    </row>
    <row r="54" spans="1:28" ht="20" customHeight="1" thickBot="1">
      <c r="A54" s="934" t="str">
        <f>IFERROR(IF(ISBLANK(VLOOKUP(F54,'Aktuelle Einnahmen'!A7:G109,3,0)),"",VLOOKUP(F54,'Aktuelle Einnahmen'!A7:G109,3,0)),"")</f>
        <v>Fischer</v>
      </c>
      <c r="B54" s="935"/>
      <c r="C54" s="935"/>
      <c r="D54" s="935"/>
      <c r="E54" s="935"/>
      <c r="F54" s="405">
        <v>6</v>
      </c>
      <c r="G54" s="984" t="str">
        <f>IFERROR(IF(ISBLANK(VLOOKUP(K54,'Aktuelle Einnahmen'!A7:G109,3,0)),"",VLOOKUP(K54,'Aktuelle Einnahmen'!A7:G109,3,0)),"")</f>
        <v/>
      </c>
      <c r="H54" s="985"/>
      <c r="I54" s="985"/>
      <c r="J54" s="986"/>
      <c r="K54" s="324">
        <v>39</v>
      </c>
      <c r="L54" s="998"/>
      <c r="M54" s="987" t="str">
        <f>IFERROR(IF(ISBLANK(VLOOKUP(S54,'Aktuelle Einnahmen'!A7:G109,3,0)),"",VLOOKUP(S54,'Aktuelle Einnahmen'!A7:G109,3,0)),"")</f>
        <v/>
      </c>
      <c r="N54" s="988"/>
      <c r="O54" s="988"/>
      <c r="P54" s="988"/>
      <c r="Q54" s="988"/>
      <c r="R54" s="989"/>
      <c r="S54" s="327">
        <v>72</v>
      </c>
      <c r="X54" s="433">
        <f t="shared" si="0"/>
        <v>6</v>
      </c>
      <c r="Y54" s="408" t="str">
        <v>Fischer</v>
      </c>
      <c r="Z54" s="409"/>
      <c r="AA54" s="436" t="str">
        <f t="shared" si="1"/>
        <v/>
      </c>
      <c r="AB54" s="421" t="str">
        <f t="shared" si="2"/>
        <v/>
      </c>
    </row>
    <row r="55" spans="1:28" ht="20" customHeight="1" thickBot="1">
      <c r="A55" s="934" t="str">
        <f>IFERROR(IF(ISBLANK(VLOOKUP(F55,'Aktuelle Einnahmen'!A8:G110,3,0)),"",VLOOKUP(F55,'Aktuelle Einnahmen'!A8:G110,3,0)),"")</f>
        <v>Gracia</v>
      </c>
      <c r="B55" s="935"/>
      <c r="C55" s="935"/>
      <c r="D55" s="935"/>
      <c r="E55" s="935"/>
      <c r="F55" s="405">
        <v>7</v>
      </c>
      <c r="G55" s="984" t="str">
        <f>IFERROR(IF(ISBLANK(VLOOKUP(K55,'Aktuelle Einnahmen'!A8:G110,3,0)),"",VLOOKUP(K55,'Aktuelle Einnahmen'!A8:G110,3,0)),"")</f>
        <v/>
      </c>
      <c r="H55" s="985"/>
      <c r="I55" s="985"/>
      <c r="J55" s="986"/>
      <c r="K55" s="324">
        <v>40</v>
      </c>
      <c r="L55" s="998"/>
      <c r="M55" s="987" t="str">
        <f>IFERROR(IF(ISBLANK(VLOOKUP(S55,'Aktuelle Einnahmen'!A8:G110,3,0)),"",VLOOKUP(S55,'Aktuelle Einnahmen'!A8:G110,3,0)),"")</f>
        <v/>
      </c>
      <c r="N55" s="988"/>
      <c r="O55" s="988"/>
      <c r="P55" s="988"/>
      <c r="Q55" s="988"/>
      <c r="R55" s="989"/>
      <c r="S55" s="327">
        <v>73</v>
      </c>
      <c r="X55" s="433">
        <f t="shared" si="0"/>
        <v>7</v>
      </c>
      <c r="Y55" s="408" t="str">
        <v>Gracia</v>
      </c>
      <c r="Z55" s="409"/>
      <c r="AA55" s="436" t="str">
        <f t="shared" si="1"/>
        <v/>
      </c>
      <c r="AB55" s="421" t="str">
        <f t="shared" si="2"/>
        <v/>
      </c>
    </row>
    <row r="56" spans="1:28" ht="20" customHeight="1" thickBot="1">
      <c r="A56" s="934" t="str">
        <f>IFERROR(IF(ISBLANK(VLOOKUP(F56,'Aktuelle Einnahmen'!A9:G111,3,0)),"",VLOOKUP(F56,'Aktuelle Einnahmen'!A9:G111,3,0)),"")</f>
        <v>Harris</v>
      </c>
      <c r="B56" s="935"/>
      <c r="C56" s="935"/>
      <c r="D56" s="935"/>
      <c r="E56" s="935"/>
      <c r="F56" s="405">
        <v>8</v>
      </c>
      <c r="G56" s="984" t="str">
        <f>IFERROR(IF(ISBLANK(VLOOKUP(K56,'Aktuelle Einnahmen'!A9:G111,3,0)),"",VLOOKUP(K56,'Aktuelle Einnahmen'!A9:G111,3,0)),"")</f>
        <v/>
      </c>
      <c r="H56" s="985"/>
      <c r="I56" s="985"/>
      <c r="J56" s="986"/>
      <c r="K56" s="324">
        <v>41</v>
      </c>
      <c r="L56" s="998"/>
      <c r="M56" s="987" t="str">
        <f>IFERROR(IF(ISBLANK(VLOOKUP(S56,'Aktuelle Einnahmen'!A9:G111,3,0)),"",VLOOKUP(S56,'Aktuelle Einnahmen'!A9:G111,3,0)),"")</f>
        <v/>
      </c>
      <c r="N56" s="988"/>
      <c r="O56" s="988"/>
      <c r="P56" s="988"/>
      <c r="Q56" s="988"/>
      <c r="R56" s="989"/>
      <c r="S56" s="327">
        <v>74</v>
      </c>
      <c r="X56" s="433">
        <f t="shared" si="0"/>
        <v>8</v>
      </c>
      <c r="Y56" s="408" t="str">
        <v>Harris</v>
      </c>
      <c r="Z56" s="409"/>
      <c r="AA56" s="436" t="str">
        <f t="shared" si="1"/>
        <v/>
      </c>
      <c r="AB56" s="421" t="str">
        <f t="shared" si="2"/>
        <v/>
      </c>
    </row>
    <row r="57" spans="1:28" ht="20" customHeight="1" thickBot="1">
      <c r="A57" s="934" t="str">
        <f>IFERROR(IF(ISBLANK(VLOOKUP(F57,'Aktuelle Einnahmen'!A10:G112,3,0)),"",VLOOKUP(F57,'Aktuelle Einnahmen'!A10:G112,3,0)),"")</f>
        <v>Irving</v>
      </c>
      <c r="B57" s="935"/>
      <c r="C57" s="935"/>
      <c r="D57" s="935"/>
      <c r="E57" s="935"/>
      <c r="F57" s="405">
        <v>9</v>
      </c>
      <c r="G57" s="984" t="str">
        <f>IFERROR(IF(ISBLANK(VLOOKUP(K57,'Aktuelle Einnahmen'!A10:G112,3,0)),"",VLOOKUP(K57,'Aktuelle Einnahmen'!A10:G112,3,0)),"")</f>
        <v/>
      </c>
      <c r="H57" s="985"/>
      <c r="I57" s="985"/>
      <c r="J57" s="986"/>
      <c r="K57" s="324">
        <v>42</v>
      </c>
      <c r="L57" s="998"/>
      <c r="M57" s="987" t="str">
        <f>IFERROR(IF(ISBLANK(VLOOKUP(S57,'Aktuelle Einnahmen'!A10:G112,3,0)),"",VLOOKUP(S57,'Aktuelle Einnahmen'!A10:G112,3,0)),"")</f>
        <v/>
      </c>
      <c r="N57" s="988"/>
      <c r="O57" s="988"/>
      <c r="P57" s="988"/>
      <c r="Q57" s="988"/>
      <c r="R57" s="989"/>
      <c r="S57" s="327">
        <v>75</v>
      </c>
      <c r="X57" s="433">
        <f t="shared" si="0"/>
        <v>9</v>
      </c>
      <c r="Y57" s="408" t="str">
        <v>Irving</v>
      </c>
      <c r="Z57" s="409"/>
      <c r="AA57" s="436" t="str">
        <f t="shared" si="1"/>
        <v/>
      </c>
      <c r="AB57" s="421" t="str">
        <f t="shared" si="2"/>
        <v/>
      </c>
    </row>
    <row r="58" spans="1:28" ht="20" customHeight="1" thickBot="1">
      <c r="A58" s="934" t="str">
        <f>IFERROR(IF(ISBLANK(VLOOKUP(F58,'Aktuelle Einnahmen'!A11:G113,3,0)),"",VLOOKUP(F58,'Aktuelle Einnahmen'!A11:G113,3,0)),"")</f>
        <v>Johnson</v>
      </c>
      <c r="B58" s="935"/>
      <c r="C58" s="935"/>
      <c r="D58" s="935"/>
      <c r="E58" s="935"/>
      <c r="F58" s="405">
        <v>10</v>
      </c>
      <c r="G58" s="984" t="str">
        <f>IFERROR(IF(ISBLANK(VLOOKUP(K58,'Aktuelle Einnahmen'!A11:G113,3,0)),"",VLOOKUP(K58,'Aktuelle Einnahmen'!A11:G113,3,0)),"")</f>
        <v/>
      </c>
      <c r="H58" s="985"/>
      <c r="I58" s="985"/>
      <c r="J58" s="986"/>
      <c r="K58" s="324">
        <v>43</v>
      </c>
      <c r="L58" s="998"/>
      <c r="M58" s="987" t="str">
        <f>IFERROR(IF(ISBLANK(VLOOKUP(S58,'Aktuelle Einnahmen'!A11:G113,3,0)),"",VLOOKUP(S58,'Aktuelle Einnahmen'!A11:G113,3,0)),"")</f>
        <v/>
      </c>
      <c r="N58" s="988"/>
      <c r="O58" s="988"/>
      <c r="P58" s="988"/>
      <c r="Q58" s="988"/>
      <c r="R58" s="989"/>
      <c r="S58" s="327">
        <v>76</v>
      </c>
      <c r="X58" s="433">
        <f t="shared" si="0"/>
        <v>10</v>
      </c>
      <c r="Y58" s="408" t="str">
        <v>Johnson</v>
      </c>
      <c r="Z58" s="409"/>
      <c r="AA58" s="436" t="str">
        <f t="shared" si="1"/>
        <v/>
      </c>
      <c r="AB58" s="421" t="str">
        <f t="shared" si="2"/>
        <v/>
      </c>
    </row>
    <row r="59" spans="1:28" ht="20" customHeight="1" thickBot="1">
      <c r="A59" s="934" t="str">
        <f>IFERROR(IF(ISBLANK(VLOOKUP(F59,'Aktuelle Einnahmen'!A12:G114,3,0)),"",VLOOKUP(F59,'Aktuelle Einnahmen'!A12:G114,3,0)),"")</f>
        <v>Kelly</v>
      </c>
      <c r="B59" s="935"/>
      <c r="C59" s="935"/>
      <c r="D59" s="935"/>
      <c r="E59" s="935"/>
      <c r="F59" s="405">
        <v>11</v>
      </c>
      <c r="G59" s="984" t="str">
        <f>IFERROR(IF(ISBLANK(VLOOKUP(K59,'Aktuelle Einnahmen'!A12:G114,3,0)),"",VLOOKUP(K59,'Aktuelle Einnahmen'!A12:G114,3,0)),"")</f>
        <v/>
      </c>
      <c r="H59" s="985"/>
      <c r="I59" s="985"/>
      <c r="J59" s="986"/>
      <c r="K59" s="324">
        <v>44</v>
      </c>
      <c r="L59" s="998"/>
      <c r="M59" s="987" t="str">
        <f>IFERROR(IF(ISBLANK(VLOOKUP(S59,'Aktuelle Einnahmen'!A12:G114,3,0)),"",VLOOKUP(S59,'Aktuelle Einnahmen'!A12:G114,3,0)),"")</f>
        <v/>
      </c>
      <c r="N59" s="988"/>
      <c r="O59" s="988"/>
      <c r="P59" s="988"/>
      <c r="Q59" s="988"/>
      <c r="R59" s="989"/>
      <c r="S59" s="327">
        <v>77</v>
      </c>
      <c r="X59" s="433">
        <f t="shared" si="0"/>
        <v>11</v>
      </c>
      <c r="Y59" s="408" t="str">
        <v>Kelly</v>
      </c>
      <c r="Z59" s="409"/>
      <c r="AA59" s="436" t="str">
        <f t="shared" si="1"/>
        <v/>
      </c>
      <c r="AB59" s="421" t="str">
        <f t="shared" si="2"/>
        <v/>
      </c>
    </row>
    <row r="60" spans="1:28" ht="20" customHeight="1" thickBot="1">
      <c r="A60" s="934" t="str">
        <f>IFERROR(IF(ISBLANK(VLOOKUP(F60,'Aktuelle Einnahmen'!A13:G115,3,0)),"",VLOOKUP(F60,'Aktuelle Einnahmen'!A13:G115,3,0)),"")</f>
        <v>Lopez</v>
      </c>
      <c r="B60" s="935"/>
      <c r="C60" s="935"/>
      <c r="D60" s="935"/>
      <c r="E60" s="935"/>
      <c r="F60" s="405">
        <v>12</v>
      </c>
      <c r="G60" s="984" t="str">
        <f>IFERROR(IF(ISBLANK(VLOOKUP(K60,'Aktuelle Einnahmen'!A13:G115,3,0)),"",VLOOKUP(K60,'Aktuelle Einnahmen'!A13:G115,3,0)),"")</f>
        <v/>
      </c>
      <c r="H60" s="985"/>
      <c r="I60" s="985"/>
      <c r="J60" s="986"/>
      <c r="K60" s="324">
        <v>45</v>
      </c>
      <c r="L60" s="998"/>
      <c r="M60" s="987" t="str">
        <f>IFERROR(IF(ISBLANK(VLOOKUP(S60,'Aktuelle Einnahmen'!A13:G115,3,0)),"",VLOOKUP(S60,'Aktuelle Einnahmen'!A13:G115,3,0)),"")</f>
        <v/>
      </c>
      <c r="N60" s="988"/>
      <c r="O60" s="988"/>
      <c r="P60" s="988"/>
      <c r="Q60" s="988"/>
      <c r="R60" s="989"/>
      <c r="S60" s="327">
        <v>78</v>
      </c>
      <c r="X60" s="433">
        <f t="shared" si="0"/>
        <v>12</v>
      </c>
      <c r="Y60" s="408" t="str">
        <v>Lopez</v>
      </c>
      <c r="Z60" s="409"/>
      <c r="AA60" s="436" t="str">
        <f t="shared" si="1"/>
        <v/>
      </c>
      <c r="AB60" s="421" t="str">
        <f t="shared" si="2"/>
        <v/>
      </c>
    </row>
    <row r="61" spans="1:28" ht="20" customHeight="1" thickBot="1">
      <c r="A61" s="934" t="str">
        <f>IFERROR(IF(ISBLANK(VLOOKUP(F61,'Aktuelle Einnahmen'!A14:G116,3,0)),"",VLOOKUP(F61,'Aktuelle Einnahmen'!A14:G116,3,0)),"")</f>
        <v/>
      </c>
      <c r="B61" s="935"/>
      <c r="C61" s="935"/>
      <c r="D61" s="935"/>
      <c r="E61" s="935"/>
      <c r="F61" s="405">
        <v>13</v>
      </c>
      <c r="G61" s="984" t="str">
        <f>IFERROR(IF(ISBLANK(VLOOKUP(K61,'Aktuelle Einnahmen'!A14:G116,3,0)),"",VLOOKUP(K61,'Aktuelle Einnahmen'!A14:G116,3,0)),"")</f>
        <v/>
      </c>
      <c r="H61" s="985"/>
      <c r="I61" s="985"/>
      <c r="J61" s="986"/>
      <c r="K61" s="324">
        <v>46</v>
      </c>
      <c r="L61" s="998"/>
      <c r="M61" s="987" t="str">
        <f>IFERROR(IF(ISBLANK(VLOOKUP(S61,'Aktuelle Einnahmen'!A14:G116,3,0)),"",VLOOKUP(S61,'Aktuelle Einnahmen'!A14:G116,3,0)),"")</f>
        <v/>
      </c>
      <c r="N61" s="988"/>
      <c r="O61" s="988"/>
      <c r="P61" s="988"/>
      <c r="Q61" s="988"/>
      <c r="R61" s="989"/>
      <c r="S61" s="327">
        <v>79</v>
      </c>
      <c r="X61" s="433" t="str">
        <f t="shared" si="0"/>
        <v/>
      </c>
      <c r="Y61" s="408"/>
      <c r="Z61" s="409"/>
      <c r="AA61" s="436" t="str">
        <f t="shared" si="1"/>
        <v/>
      </c>
      <c r="AB61" s="421" t="str">
        <f t="shared" si="2"/>
        <v/>
      </c>
    </row>
    <row r="62" spans="1:28" ht="20" customHeight="1" thickBot="1">
      <c r="A62" s="934" t="str">
        <f>IFERROR(IF(ISBLANK(VLOOKUP(F62,'Aktuelle Einnahmen'!A15:G117,3,0)),"",VLOOKUP(F62,'Aktuelle Einnahmen'!A15:G117,3,0)),"")</f>
        <v/>
      </c>
      <c r="B62" s="935"/>
      <c r="C62" s="935"/>
      <c r="D62" s="935"/>
      <c r="E62" s="935"/>
      <c r="F62" s="405">
        <v>14</v>
      </c>
      <c r="G62" s="984" t="str">
        <f>IFERROR(IF(ISBLANK(VLOOKUP(K62,'Aktuelle Einnahmen'!A15:G117,3,0)),"",VLOOKUP(K62,'Aktuelle Einnahmen'!A15:G117,3,0)),"")</f>
        <v/>
      </c>
      <c r="H62" s="985"/>
      <c r="I62" s="985"/>
      <c r="J62" s="986"/>
      <c r="K62" s="324">
        <v>47</v>
      </c>
      <c r="L62" s="998"/>
      <c r="M62" s="987" t="str">
        <f>IFERROR(IF(ISBLANK(VLOOKUP(S62,'Aktuelle Einnahmen'!A15:G117,3,0)),"",VLOOKUP(S62,'Aktuelle Einnahmen'!A15:G117,3,0)),"")</f>
        <v/>
      </c>
      <c r="N62" s="988"/>
      <c r="O62" s="988"/>
      <c r="P62" s="988"/>
      <c r="Q62" s="988"/>
      <c r="R62" s="989"/>
      <c r="S62" s="327">
        <v>80</v>
      </c>
      <c r="X62" s="433" t="str">
        <f t="shared" si="0"/>
        <v/>
      </c>
      <c r="Y62" s="408"/>
      <c r="Z62" s="409"/>
      <c r="AA62" s="436" t="str">
        <f t="shared" si="1"/>
        <v/>
      </c>
      <c r="AB62" s="421" t="str">
        <f t="shared" si="2"/>
        <v/>
      </c>
    </row>
    <row r="63" spans="1:28" ht="20" customHeight="1" thickBot="1">
      <c r="A63" s="934" t="str">
        <f>IFERROR(IF(ISBLANK(VLOOKUP(F63,'Aktuelle Einnahmen'!A16:G118,3,0)),"",VLOOKUP(F63,'Aktuelle Einnahmen'!A16:G118,3,0)),"")</f>
        <v/>
      </c>
      <c r="B63" s="935"/>
      <c r="C63" s="935"/>
      <c r="D63" s="935"/>
      <c r="E63" s="935"/>
      <c r="F63" s="405">
        <v>15</v>
      </c>
      <c r="G63" s="984" t="str">
        <f>IFERROR(IF(ISBLANK(VLOOKUP(K63,'Aktuelle Einnahmen'!A16:G118,3,0)),"",VLOOKUP(K63,'Aktuelle Einnahmen'!A16:G118,3,0)),"")</f>
        <v/>
      </c>
      <c r="H63" s="985"/>
      <c r="I63" s="985"/>
      <c r="J63" s="986"/>
      <c r="K63" s="324">
        <v>48</v>
      </c>
      <c r="L63" s="998"/>
      <c r="M63" s="987" t="str">
        <f>IFERROR(IF(ISBLANK(VLOOKUP(S63,'Aktuelle Einnahmen'!A16:G118,3,0)),"",VLOOKUP(S63,'Aktuelle Einnahmen'!A16:G118,3,0)),"")</f>
        <v/>
      </c>
      <c r="N63" s="988"/>
      <c r="O63" s="988"/>
      <c r="P63" s="988"/>
      <c r="Q63" s="988"/>
      <c r="R63" s="989"/>
      <c r="S63" s="327">
        <v>81</v>
      </c>
      <c r="X63" s="433" t="str">
        <f t="shared" si="0"/>
        <v/>
      </c>
      <c r="Y63" s="408"/>
      <c r="Z63" s="409"/>
      <c r="AA63" s="436" t="str">
        <f t="shared" si="1"/>
        <v/>
      </c>
      <c r="AB63" s="421" t="str">
        <f t="shared" si="2"/>
        <v/>
      </c>
    </row>
    <row r="64" spans="1:28" ht="20" customHeight="1" thickBot="1">
      <c r="A64" s="934" t="str">
        <f>IFERROR(IF(ISBLANK(VLOOKUP(F64,'Aktuelle Einnahmen'!A17:G119,3,0)),"",VLOOKUP(F64,'Aktuelle Einnahmen'!A17:G119,3,0)),"")</f>
        <v/>
      </c>
      <c r="B64" s="935"/>
      <c r="C64" s="935"/>
      <c r="D64" s="935"/>
      <c r="E64" s="935"/>
      <c r="F64" s="405">
        <v>16</v>
      </c>
      <c r="G64" s="984" t="str">
        <f>IFERROR(IF(ISBLANK(VLOOKUP(K64,'Aktuelle Einnahmen'!A17:G119,3,0)),"",VLOOKUP(K64,'Aktuelle Einnahmen'!A17:G119,3,0)),"")</f>
        <v/>
      </c>
      <c r="H64" s="985"/>
      <c r="I64" s="985"/>
      <c r="J64" s="986"/>
      <c r="K64" s="324">
        <v>49</v>
      </c>
      <c r="L64" s="998"/>
      <c r="M64" s="987" t="str">
        <f>IFERROR(IF(ISBLANK(VLOOKUP(S64,'Aktuelle Einnahmen'!A17:G119,3,0)),"",VLOOKUP(S64,'Aktuelle Einnahmen'!A17:G119,3,0)),"")</f>
        <v/>
      </c>
      <c r="N64" s="988"/>
      <c r="O64" s="988"/>
      <c r="P64" s="988"/>
      <c r="Q64" s="988"/>
      <c r="R64" s="989"/>
      <c r="S64" s="327">
        <v>82</v>
      </c>
      <c r="X64" s="433" t="str">
        <f t="shared" si="0"/>
        <v/>
      </c>
      <c r="Y64" s="408"/>
      <c r="Z64" s="409"/>
      <c r="AA64" s="436" t="str">
        <f t="shared" si="1"/>
        <v/>
      </c>
      <c r="AB64" s="421" t="str">
        <f t="shared" si="2"/>
        <v/>
      </c>
    </row>
    <row r="65" spans="1:28" ht="20" customHeight="1" thickBot="1">
      <c r="A65" s="934" t="str">
        <f>IFERROR(IF(ISBLANK(VLOOKUP(F65,'Aktuelle Einnahmen'!A18:G120,3,0)),"",VLOOKUP(F65,'Aktuelle Einnahmen'!A18:G120,3,0)),"")</f>
        <v/>
      </c>
      <c r="B65" s="935"/>
      <c r="C65" s="935"/>
      <c r="D65" s="935"/>
      <c r="E65" s="935"/>
      <c r="F65" s="405">
        <v>17</v>
      </c>
      <c r="G65" s="984" t="str">
        <f>IFERROR(IF(ISBLANK(VLOOKUP(K65,'Aktuelle Einnahmen'!A18:G120,3,0)),"",VLOOKUP(K65,'Aktuelle Einnahmen'!A18:G120,3,0)),"")</f>
        <v/>
      </c>
      <c r="H65" s="985"/>
      <c r="I65" s="985"/>
      <c r="J65" s="986"/>
      <c r="K65" s="324">
        <v>50</v>
      </c>
      <c r="L65" s="998"/>
      <c r="M65" s="987" t="str">
        <f>IFERROR(IF(ISBLANK(VLOOKUP(S65,'Aktuelle Einnahmen'!A18:G120,3,0)),"",VLOOKUP(S65,'Aktuelle Einnahmen'!A18:G120,3,0)),"")</f>
        <v/>
      </c>
      <c r="N65" s="988"/>
      <c r="O65" s="988"/>
      <c r="P65" s="988"/>
      <c r="Q65" s="988"/>
      <c r="R65" s="989"/>
      <c r="S65" s="327">
        <v>83</v>
      </c>
      <c r="X65" s="433" t="str">
        <f t="shared" si="0"/>
        <v/>
      </c>
      <c r="Y65" s="408"/>
      <c r="Z65" s="409"/>
      <c r="AA65" s="436" t="str">
        <f t="shared" si="1"/>
        <v/>
      </c>
      <c r="AB65" s="421" t="str">
        <f t="shared" si="2"/>
        <v/>
      </c>
    </row>
    <row r="66" spans="1:28" ht="20" customHeight="1" thickBot="1">
      <c r="A66" s="934" t="str">
        <f>IFERROR(IF(ISBLANK(VLOOKUP(F66,'Aktuelle Einnahmen'!A19:G121,3,0)),"",VLOOKUP(F66,'Aktuelle Einnahmen'!A19:G121,3,0)),"")</f>
        <v/>
      </c>
      <c r="B66" s="935"/>
      <c r="C66" s="935"/>
      <c r="D66" s="935"/>
      <c r="E66" s="935"/>
      <c r="F66" s="405">
        <v>18</v>
      </c>
      <c r="G66" s="984" t="str">
        <f>IFERROR(IF(ISBLANK(VLOOKUP(K66,'Aktuelle Einnahmen'!A19:G121,3,0)),"",VLOOKUP(K66,'Aktuelle Einnahmen'!A19:G121,3,0)),"")</f>
        <v/>
      </c>
      <c r="H66" s="985"/>
      <c r="I66" s="985"/>
      <c r="J66" s="986"/>
      <c r="K66" s="324">
        <v>51</v>
      </c>
      <c r="L66" s="998"/>
      <c r="M66" s="987" t="str">
        <f>IFERROR(IF(ISBLANK(VLOOKUP(S66,'Aktuelle Einnahmen'!A19:G121,3,0)),"",VLOOKUP(S66,'Aktuelle Einnahmen'!A19:G121,3,0)),"")</f>
        <v/>
      </c>
      <c r="N66" s="988"/>
      <c r="O66" s="988"/>
      <c r="P66" s="988"/>
      <c r="Q66" s="988"/>
      <c r="R66" s="989"/>
      <c r="S66" s="327">
        <v>84</v>
      </c>
      <c r="X66" s="433" t="str">
        <f t="shared" si="0"/>
        <v/>
      </c>
      <c r="Y66" s="408"/>
      <c r="Z66" s="409"/>
      <c r="AA66" s="436" t="str">
        <f t="shared" ref="AA66:AA81" si="3">X116</f>
        <v/>
      </c>
      <c r="AB66" s="421" t="str">
        <f t="shared" si="2"/>
        <v/>
      </c>
    </row>
    <row r="67" spans="1:28" ht="20" customHeight="1" thickBot="1">
      <c r="A67" s="934" t="str">
        <f>IFERROR(IF(ISBLANK(VLOOKUP(F67,'Aktuelle Einnahmen'!A20:G122,3,0)),"",VLOOKUP(F67,'Aktuelle Einnahmen'!A20:G122,3,0)),"")</f>
        <v/>
      </c>
      <c r="B67" s="935"/>
      <c r="C67" s="935"/>
      <c r="D67" s="935"/>
      <c r="E67" s="935"/>
      <c r="F67" s="405">
        <v>19</v>
      </c>
      <c r="G67" s="984" t="str">
        <f>IFERROR(IF(ISBLANK(VLOOKUP(K67,'Aktuelle Einnahmen'!A20:G122,3,0)),"",VLOOKUP(K67,'Aktuelle Einnahmen'!A20:G122,3,0)),"")</f>
        <v/>
      </c>
      <c r="H67" s="985"/>
      <c r="I67" s="985"/>
      <c r="J67" s="986"/>
      <c r="K67" s="324">
        <v>52</v>
      </c>
      <c r="L67" s="998"/>
      <c r="M67" s="987" t="str">
        <f>IFERROR(IF(ISBLANK(VLOOKUP(S67,'Aktuelle Einnahmen'!A20:G122,3,0)),"",VLOOKUP(S67,'Aktuelle Einnahmen'!A20:G122,3,0)),"")</f>
        <v/>
      </c>
      <c r="N67" s="988"/>
      <c r="O67" s="988"/>
      <c r="P67" s="988"/>
      <c r="Q67" s="988"/>
      <c r="R67" s="989"/>
      <c r="S67" s="327">
        <v>85</v>
      </c>
      <c r="X67" s="433" t="str">
        <f t="shared" si="0"/>
        <v/>
      </c>
      <c r="Y67" s="408"/>
      <c r="Z67" s="409"/>
      <c r="AA67" s="436" t="str">
        <f t="shared" si="3"/>
        <v/>
      </c>
      <c r="AB67" s="421" t="str">
        <f t="shared" si="2"/>
        <v/>
      </c>
    </row>
    <row r="68" spans="1:28" ht="20" customHeight="1" thickBot="1">
      <c r="A68" s="934" t="str">
        <f>IFERROR(IF(ISBLANK(VLOOKUP(F68,'Aktuelle Einnahmen'!A21:G123,3,0)),"",VLOOKUP(F68,'Aktuelle Einnahmen'!A21:G123,3,0)),"")</f>
        <v/>
      </c>
      <c r="B68" s="935"/>
      <c r="C68" s="935"/>
      <c r="D68" s="935"/>
      <c r="E68" s="935"/>
      <c r="F68" s="405">
        <v>20</v>
      </c>
      <c r="G68" s="984" t="str">
        <f>IFERROR(IF(ISBLANK(VLOOKUP(K68,'Aktuelle Einnahmen'!A21:G123,3,0)),"",VLOOKUP(K68,'Aktuelle Einnahmen'!A21:G123,3,0)),"")</f>
        <v/>
      </c>
      <c r="H68" s="985"/>
      <c r="I68" s="985"/>
      <c r="J68" s="986"/>
      <c r="K68" s="324">
        <v>53</v>
      </c>
      <c r="L68" s="998"/>
      <c r="M68" s="987" t="str">
        <f>IFERROR(IF(ISBLANK(VLOOKUP(S68,'Aktuelle Einnahmen'!A21:G123,3,0)),"",VLOOKUP(S68,'Aktuelle Einnahmen'!A21:G123,3,0)),"")</f>
        <v/>
      </c>
      <c r="N68" s="988"/>
      <c r="O68" s="988"/>
      <c r="P68" s="988"/>
      <c r="Q68" s="988"/>
      <c r="R68" s="989"/>
      <c r="S68" s="327">
        <v>86</v>
      </c>
      <c r="X68" s="433" t="str">
        <f t="shared" si="0"/>
        <v/>
      </c>
      <c r="Y68" s="408"/>
      <c r="Z68" s="409"/>
      <c r="AA68" s="436" t="str">
        <f t="shared" si="3"/>
        <v/>
      </c>
      <c r="AB68" s="421" t="str">
        <f t="shared" si="2"/>
        <v/>
      </c>
    </row>
    <row r="69" spans="1:28" ht="20" customHeight="1" thickBot="1">
      <c r="A69" s="934" t="str">
        <f>IFERROR(IF(ISBLANK(VLOOKUP(F69,'Aktuelle Einnahmen'!A22:G124,3,0)),"",VLOOKUP(F69,'Aktuelle Einnahmen'!A22:G124,3,0)),"")</f>
        <v/>
      </c>
      <c r="B69" s="935"/>
      <c r="C69" s="935"/>
      <c r="D69" s="935"/>
      <c r="E69" s="935"/>
      <c r="F69" s="405">
        <v>21</v>
      </c>
      <c r="G69" s="984" t="str">
        <f>IFERROR(IF(ISBLANK(VLOOKUP(K69,'Aktuelle Einnahmen'!A22:G124,3,0)),"",VLOOKUP(K69,'Aktuelle Einnahmen'!A22:G124,3,0)),"")</f>
        <v/>
      </c>
      <c r="H69" s="985"/>
      <c r="I69" s="985"/>
      <c r="J69" s="986"/>
      <c r="K69" s="324">
        <v>54</v>
      </c>
      <c r="L69" s="998"/>
      <c r="M69" s="987" t="str">
        <f>IFERROR(IF(ISBLANK(VLOOKUP(S69,'Aktuelle Einnahmen'!A22:G124,3,0)),"",VLOOKUP(S69,'Aktuelle Einnahmen'!A22:G124,3,0)),"")</f>
        <v/>
      </c>
      <c r="N69" s="988"/>
      <c r="O69" s="988"/>
      <c r="P69" s="988"/>
      <c r="Q69" s="988"/>
      <c r="R69" s="989"/>
      <c r="S69" s="327">
        <v>87</v>
      </c>
      <c r="X69" s="433" t="str">
        <f t="shared" si="0"/>
        <v/>
      </c>
      <c r="Y69" s="408"/>
      <c r="Z69" s="409"/>
      <c r="AA69" s="436" t="str">
        <f t="shared" si="3"/>
        <v/>
      </c>
      <c r="AB69" s="421" t="str">
        <f t="shared" si="2"/>
        <v/>
      </c>
    </row>
    <row r="70" spans="1:28" ht="20" customHeight="1" thickBot="1">
      <c r="A70" s="934" t="str">
        <f>IFERROR(IF(ISBLANK(VLOOKUP(F70,'Aktuelle Einnahmen'!A23:G125,3,0)),"",VLOOKUP(F70,'Aktuelle Einnahmen'!A23:G125,3,0)),"")</f>
        <v/>
      </c>
      <c r="B70" s="935"/>
      <c r="C70" s="935"/>
      <c r="D70" s="935"/>
      <c r="E70" s="935"/>
      <c r="F70" s="405">
        <v>22</v>
      </c>
      <c r="G70" s="984" t="str">
        <f>IFERROR(IF(ISBLANK(VLOOKUP(K70,'Aktuelle Einnahmen'!A23:G125,3,0)),"",VLOOKUP(K70,'Aktuelle Einnahmen'!A23:G125,3,0)),"")</f>
        <v/>
      </c>
      <c r="H70" s="985"/>
      <c r="I70" s="985"/>
      <c r="J70" s="986"/>
      <c r="K70" s="324">
        <v>55</v>
      </c>
      <c r="L70" s="998"/>
      <c r="M70" s="987" t="str">
        <f>IFERROR(IF(ISBLANK(VLOOKUP(S70,'Aktuelle Einnahmen'!A23:G125,3,0)),"",VLOOKUP(S70,'Aktuelle Einnahmen'!A23:G125,3,0)),"")</f>
        <v/>
      </c>
      <c r="N70" s="988"/>
      <c r="O70" s="988"/>
      <c r="P70" s="988"/>
      <c r="Q70" s="988"/>
      <c r="R70" s="989"/>
      <c r="S70" s="327">
        <v>88</v>
      </c>
      <c r="X70" s="433" t="str">
        <f t="shared" si="0"/>
        <v/>
      </c>
      <c r="Y70" s="408"/>
      <c r="Z70" s="409"/>
      <c r="AA70" s="436" t="str">
        <f t="shared" si="3"/>
        <v/>
      </c>
      <c r="AB70" s="421" t="str">
        <f t="shared" si="2"/>
        <v/>
      </c>
    </row>
    <row r="71" spans="1:28" ht="20" customHeight="1" thickBot="1">
      <c r="A71" s="934" t="str">
        <f>IFERROR(IF(ISBLANK(VLOOKUP(F71,'Aktuelle Einnahmen'!A24:G126,3,0)),"",VLOOKUP(F71,'Aktuelle Einnahmen'!A24:G126,3,0)),"")</f>
        <v/>
      </c>
      <c r="B71" s="935"/>
      <c r="C71" s="935"/>
      <c r="D71" s="935"/>
      <c r="E71" s="935"/>
      <c r="F71" s="405">
        <v>23</v>
      </c>
      <c r="G71" s="984" t="str">
        <f>IFERROR(IF(ISBLANK(VLOOKUP(K71,'Aktuelle Einnahmen'!A24:G126,3,0)),"",VLOOKUP(K71,'Aktuelle Einnahmen'!A24:G126,3,0)),"")</f>
        <v/>
      </c>
      <c r="H71" s="985"/>
      <c r="I71" s="985"/>
      <c r="J71" s="986"/>
      <c r="K71" s="324">
        <v>56</v>
      </c>
      <c r="L71" s="998"/>
      <c r="M71" s="987" t="str">
        <f>IFERROR(IF(ISBLANK(VLOOKUP(S71,'Aktuelle Einnahmen'!A24:G126,3,0)),"",VLOOKUP(S71,'Aktuelle Einnahmen'!A24:G126,3,0)),"")</f>
        <v/>
      </c>
      <c r="N71" s="988"/>
      <c r="O71" s="988"/>
      <c r="P71" s="988"/>
      <c r="Q71" s="988"/>
      <c r="R71" s="989"/>
      <c r="S71" s="327">
        <v>89</v>
      </c>
      <c r="X71" s="433" t="str">
        <f t="shared" si="0"/>
        <v/>
      </c>
      <c r="Y71" s="408"/>
      <c r="Z71" s="409"/>
      <c r="AA71" s="436" t="str">
        <f t="shared" si="3"/>
        <v/>
      </c>
      <c r="AB71" s="421" t="str">
        <f t="shared" si="2"/>
        <v/>
      </c>
    </row>
    <row r="72" spans="1:28" ht="20" customHeight="1" thickBot="1">
      <c r="A72" s="934" t="str">
        <f>IFERROR(IF(ISBLANK(VLOOKUP(F72,'Aktuelle Einnahmen'!A25:G127,3,0)),"",VLOOKUP(F72,'Aktuelle Einnahmen'!A25:G127,3,0)),"")</f>
        <v/>
      </c>
      <c r="B72" s="935"/>
      <c r="C72" s="935"/>
      <c r="D72" s="935"/>
      <c r="E72" s="935"/>
      <c r="F72" s="405">
        <v>24</v>
      </c>
      <c r="G72" s="984" t="str">
        <f>IFERROR(IF(ISBLANK(VLOOKUP(K72,'Aktuelle Einnahmen'!A25:G127,3,0)),"",VLOOKUP(K72,'Aktuelle Einnahmen'!A25:G127,3,0)),"")</f>
        <v/>
      </c>
      <c r="H72" s="985"/>
      <c r="I72" s="985"/>
      <c r="J72" s="986"/>
      <c r="K72" s="324">
        <v>57</v>
      </c>
      <c r="L72" s="998"/>
      <c r="M72" s="987" t="str">
        <f>IFERROR(IF(ISBLANK(VLOOKUP(S72,'Aktuelle Einnahmen'!A25:G127,3,0)),"",VLOOKUP(S72,'Aktuelle Einnahmen'!A25:G127,3,0)),"")</f>
        <v/>
      </c>
      <c r="N72" s="988"/>
      <c r="O72" s="988"/>
      <c r="P72" s="988"/>
      <c r="Q72" s="988"/>
      <c r="R72" s="989"/>
      <c r="S72" s="327">
        <v>90</v>
      </c>
      <c r="X72" s="433" t="str">
        <f t="shared" si="0"/>
        <v/>
      </c>
      <c r="Y72" s="408"/>
      <c r="Z72" s="409"/>
      <c r="AA72" s="436" t="str">
        <f t="shared" si="3"/>
        <v/>
      </c>
      <c r="AB72" s="421" t="str">
        <f t="shared" si="2"/>
        <v/>
      </c>
    </row>
    <row r="73" spans="1:28" ht="20" customHeight="1" thickBot="1">
      <c r="A73" s="934" t="str">
        <f>IFERROR(IF(ISBLANK(VLOOKUP(F73,'Aktuelle Einnahmen'!A26:G128,3,0)),"",VLOOKUP(F73,'Aktuelle Einnahmen'!A26:G128,3,0)),"")</f>
        <v/>
      </c>
      <c r="B73" s="935"/>
      <c r="C73" s="935"/>
      <c r="D73" s="935"/>
      <c r="E73" s="935"/>
      <c r="F73" s="405">
        <v>25</v>
      </c>
      <c r="G73" s="984" t="str">
        <f>IFERROR(IF(ISBLANK(VLOOKUP(K73,'Aktuelle Einnahmen'!A26:G128,3,0)),"",VLOOKUP(K73,'Aktuelle Einnahmen'!A26:G128,3,0)),"")</f>
        <v/>
      </c>
      <c r="H73" s="985"/>
      <c r="I73" s="985"/>
      <c r="J73" s="986"/>
      <c r="K73" s="324">
        <v>58</v>
      </c>
      <c r="L73" s="998"/>
      <c r="M73" s="987" t="str">
        <f>IFERROR(IF(ISBLANK(VLOOKUP(S73,'Aktuelle Einnahmen'!A26:G128,3,0)),"",VLOOKUP(S73,'Aktuelle Einnahmen'!A26:G128,3,0)),"")</f>
        <v/>
      </c>
      <c r="N73" s="988"/>
      <c r="O73" s="988"/>
      <c r="P73" s="988"/>
      <c r="Q73" s="988"/>
      <c r="R73" s="989"/>
      <c r="S73" s="327">
        <v>91</v>
      </c>
      <c r="U73" s="110"/>
      <c r="X73" s="433" t="str">
        <f t="shared" si="0"/>
        <v/>
      </c>
      <c r="Y73" s="408"/>
      <c r="Z73" s="409"/>
      <c r="AA73" s="436" t="str">
        <f t="shared" si="3"/>
        <v/>
      </c>
      <c r="AB73" s="421" t="str">
        <f t="shared" si="2"/>
        <v/>
      </c>
    </row>
    <row r="74" spans="1:28" ht="20" customHeight="1" thickBot="1">
      <c r="A74" s="934" t="str">
        <f>IFERROR(IF(ISBLANK(VLOOKUP(F74,'Aktuelle Einnahmen'!A27:G129,3,0)),"",VLOOKUP(F74,'Aktuelle Einnahmen'!A27:G129,3,0)),"")</f>
        <v/>
      </c>
      <c r="B74" s="935"/>
      <c r="C74" s="935"/>
      <c r="D74" s="935"/>
      <c r="E74" s="935"/>
      <c r="F74" s="405">
        <v>26</v>
      </c>
      <c r="G74" s="984" t="str">
        <f>IFERROR(IF(ISBLANK(VLOOKUP(K74,'Aktuelle Einnahmen'!A27:G129,3,0)),"",VLOOKUP(K74,'Aktuelle Einnahmen'!A27:G129,3,0)),"")</f>
        <v/>
      </c>
      <c r="H74" s="985"/>
      <c r="I74" s="985"/>
      <c r="J74" s="986"/>
      <c r="K74" s="324">
        <v>59</v>
      </c>
      <c r="L74" s="998"/>
      <c r="M74" s="987" t="str">
        <f>IFERROR(IF(ISBLANK(VLOOKUP(S74,'Aktuelle Einnahmen'!A27:G129,3,0)),"",VLOOKUP(S74,'Aktuelle Einnahmen'!A27:G129,3,0)),"")</f>
        <v/>
      </c>
      <c r="N74" s="988"/>
      <c r="O74" s="988"/>
      <c r="P74" s="988"/>
      <c r="Q74" s="988"/>
      <c r="R74" s="989"/>
      <c r="S74" s="327">
        <v>92</v>
      </c>
      <c r="X74" s="433" t="str">
        <f t="shared" si="0"/>
        <v/>
      </c>
      <c r="Y74" s="408"/>
      <c r="Z74" s="409"/>
      <c r="AA74" s="436" t="str">
        <f t="shared" si="3"/>
        <v/>
      </c>
      <c r="AB74" s="421" t="str">
        <f t="shared" si="2"/>
        <v/>
      </c>
    </row>
    <row r="75" spans="1:28" ht="20" customHeight="1" thickBot="1">
      <c r="A75" s="934" t="str">
        <f>IFERROR(IF(ISBLANK(VLOOKUP(F75,'Aktuelle Einnahmen'!A28:G130,3,0)),"",VLOOKUP(F75,'Aktuelle Einnahmen'!A28:G130,3,0)),"")</f>
        <v/>
      </c>
      <c r="B75" s="935"/>
      <c r="C75" s="935"/>
      <c r="D75" s="935"/>
      <c r="E75" s="935"/>
      <c r="F75" s="405">
        <v>27</v>
      </c>
      <c r="G75" s="984" t="str">
        <f>IFERROR(IF(ISBLANK(VLOOKUP(K75,'Aktuelle Einnahmen'!A28:G130,3,0)),"",VLOOKUP(K75,'Aktuelle Einnahmen'!A28:G130,3,0)),"")</f>
        <v/>
      </c>
      <c r="H75" s="985"/>
      <c r="I75" s="985"/>
      <c r="J75" s="986"/>
      <c r="K75" s="324">
        <v>60</v>
      </c>
      <c r="L75" s="998"/>
      <c r="M75" s="987" t="str">
        <f>IFERROR(IF(ISBLANK(VLOOKUP(S75,'Aktuelle Einnahmen'!A28:G130,3,0)),"",VLOOKUP(S75,'Aktuelle Einnahmen'!A28:G130,3,0)),"")</f>
        <v/>
      </c>
      <c r="N75" s="988"/>
      <c r="O75" s="988"/>
      <c r="P75" s="988"/>
      <c r="Q75" s="988"/>
      <c r="R75" s="989"/>
      <c r="S75" s="327">
        <v>93</v>
      </c>
      <c r="X75" s="433" t="str">
        <f t="shared" si="0"/>
        <v/>
      </c>
      <c r="Y75" s="408"/>
      <c r="Z75" s="409"/>
      <c r="AA75" s="436" t="str">
        <f t="shared" si="3"/>
        <v/>
      </c>
      <c r="AB75" s="421" t="str">
        <f t="shared" si="2"/>
        <v/>
      </c>
    </row>
    <row r="76" spans="1:28" ht="20" customHeight="1" thickBot="1">
      <c r="A76" s="934" t="str">
        <f>IFERROR(IF(ISBLANK(VLOOKUP(F76,'Aktuelle Einnahmen'!A29:G131,3,0)),"",VLOOKUP(F76,'Aktuelle Einnahmen'!A29:G131,3,0)),"")</f>
        <v/>
      </c>
      <c r="B76" s="935"/>
      <c r="C76" s="935"/>
      <c r="D76" s="935"/>
      <c r="E76" s="935"/>
      <c r="F76" s="405">
        <v>28</v>
      </c>
      <c r="G76" s="984" t="str">
        <f>IFERROR(IF(ISBLANK(VLOOKUP(K76,'Aktuelle Einnahmen'!A29:G131,3,0)),"",VLOOKUP(K76,'Aktuelle Einnahmen'!A29:G131,3,0)),"")</f>
        <v/>
      </c>
      <c r="H76" s="985"/>
      <c r="I76" s="985"/>
      <c r="J76" s="986"/>
      <c r="K76" s="324">
        <v>61</v>
      </c>
      <c r="L76" s="998"/>
      <c r="M76" s="987" t="str">
        <f>IFERROR(IF(ISBLANK(VLOOKUP(S76,'Aktuelle Einnahmen'!A29:G131,3,0)),"",VLOOKUP(S76,'Aktuelle Einnahmen'!A29:G131,3,0)),"")</f>
        <v/>
      </c>
      <c r="N76" s="988"/>
      <c r="O76" s="988"/>
      <c r="P76" s="988"/>
      <c r="Q76" s="988"/>
      <c r="R76" s="989"/>
      <c r="S76" s="327">
        <v>94</v>
      </c>
      <c r="X76" s="433" t="str">
        <f t="shared" si="0"/>
        <v/>
      </c>
      <c r="Y76" s="408"/>
      <c r="Z76" s="409"/>
      <c r="AA76" s="436" t="str">
        <f t="shared" si="3"/>
        <v/>
      </c>
      <c r="AB76" s="421" t="str">
        <f t="shared" si="2"/>
        <v/>
      </c>
    </row>
    <row r="77" spans="1:28" ht="20" customHeight="1" thickBot="1">
      <c r="A77" s="934" t="str">
        <f>IFERROR(IF(ISBLANK(VLOOKUP(F77,'Aktuelle Einnahmen'!A30:G132,3,0)),"",VLOOKUP(F77,'Aktuelle Einnahmen'!A30:G132,3,0)),"")</f>
        <v/>
      </c>
      <c r="B77" s="935"/>
      <c r="C77" s="935"/>
      <c r="D77" s="935"/>
      <c r="E77" s="935"/>
      <c r="F77" s="405">
        <v>29</v>
      </c>
      <c r="G77" s="984" t="str">
        <f>IFERROR(IF(ISBLANK(VLOOKUP(K77,'Aktuelle Einnahmen'!A30:G132,3,0)),"",VLOOKUP(K77,'Aktuelle Einnahmen'!A30:G132,3,0)),"")</f>
        <v/>
      </c>
      <c r="H77" s="985"/>
      <c r="I77" s="985"/>
      <c r="J77" s="986"/>
      <c r="K77" s="324">
        <v>62</v>
      </c>
      <c r="L77" s="998"/>
      <c r="M77" s="987" t="str">
        <f>IFERROR(IF(ISBLANK(VLOOKUP(S77,'Aktuelle Einnahmen'!A30:G132,3,0)),"",VLOOKUP(S77,'Aktuelle Einnahmen'!A30:G132,3,0)),"")</f>
        <v/>
      </c>
      <c r="N77" s="988"/>
      <c r="O77" s="988"/>
      <c r="P77" s="988"/>
      <c r="Q77" s="988"/>
      <c r="R77" s="989"/>
      <c r="S77" s="327">
        <v>95</v>
      </c>
      <c r="X77" s="433" t="str">
        <f t="shared" si="0"/>
        <v/>
      </c>
      <c r="Y77" s="408"/>
      <c r="Z77" s="409"/>
      <c r="AA77" s="436" t="str">
        <f t="shared" si="3"/>
        <v/>
      </c>
      <c r="AB77" s="421" t="str">
        <f t="shared" si="2"/>
        <v/>
      </c>
    </row>
    <row r="78" spans="1:28" ht="20" customHeight="1" thickBot="1">
      <c r="A78" s="934" t="str">
        <f>IFERROR(IF(ISBLANK(VLOOKUP(F78,'Aktuelle Einnahmen'!A31:G133,3,0)),"",VLOOKUP(F78,'Aktuelle Einnahmen'!A31:G133,3,0)),"")</f>
        <v/>
      </c>
      <c r="B78" s="935"/>
      <c r="C78" s="935"/>
      <c r="D78" s="935"/>
      <c r="E78" s="935"/>
      <c r="F78" s="405">
        <v>30</v>
      </c>
      <c r="G78" s="984" t="str">
        <f>IFERROR(IF(ISBLANK(VLOOKUP(K78,'Aktuelle Einnahmen'!A31:G133,3,0)),"",VLOOKUP(K78,'Aktuelle Einnahmen'!A31:G133,3,0)),"")</f>
        <v/>
      </c>
      <c r="H78" s="985"/>
      <c r="I78" s="985"/>
      <c r="J78" s="986"/>
      <c r="K78" s="324">
        <v>63</v>
      </c>
      <c r="L78" s="998"/>
      <c r="M78" s="987" t="str">
        <f>IFERROR(IF(ISBLANK(VLOOKUP(S78,'Aktuelle Einnahmen'!A31:G133,3,0)),"",VLOOKUP(S78,'Aktuelle Einnahmen'!A31:G133,3,0)),"")</f>
        <v/>
      </c>
      <c r="N78" s="988"/>
      <c r="O78" s="988"/>
      <c r="P78" s="988"/>
      <c r="Q78" s="988"/>
      <c r="R78" s="989"/>
      <c r="S78" s="327">
        <v>96</v>
      </c>
      <c r="X78" s="433" t="str">
        <f t="shared" si="0"/>
        <v/>
      </c>
      <c r="Y78" s="408"/>
      <c r="Z78" s="409"/>
      <c r="AA78" s="436" t="str">
        <f t="shared" si="3"/>
        <v/>
      </c>
      <c r="AB78" s="421" t="str">
        <f t="shared" si="2"/>
        <v/>
      </c>
    </row>
    <row r="79" spans="1:28" ht="20" customHeight="1" thickBot="1">
      <c r="A79" s="934" t="str">
        <f>IFERROR(IF(ISBLANK(VLOOKUP(F79,'Aktuelle Einnahmen'!A32:G134,3,0)),"",VLOOKUP(F79,'Aktuelle Einnahmen'!A32:G134,3,0)),"")</f>
        <v/>
      </c>
      <c r="B79" s="935"/>
      <c r="C79" s="935"/>
      <c r="D79" s="935"/>
      <c r="E79" s="935"/>
      <c r="F79" s="405">
        <v>31</v>
      </c>
      <c r="G79" s="984" t="str">
        <f>IFERROR(IF(ISBLANK(VLOOKUP(K79,'Aktuelle Einnahmen'!A32:G134,3,0)),"",VLOOKUP(K79,'Aktuelle Einnahmen'!A32:G134,3,0)),"")</f>
        <v/>
      </c>
      <c r="H79" s="985"/>
      <c r="I79" s="985"/>
      <c r="J79" s="986"/>
      <c r="K79" s="324">
        <v>64</v>
      </c>
      <c r="L79" s="998"/>
      <c r="M79" s="987" t="str">
        <f>IFERROR(IF(ISBLANK(VLOOKUP(S79,'Aktuelle Einnahmen'!A32:G134,3,0)),"",VLOOKUP(S79,'Aktuelle Einnahmen'!A32:G134,3,0)),"")</f>
        <v/>
      </c>
      <c r="N79" s="988"/>
      <c r="O79" s="988"/>
      <c r="P79" s="988"/>
      <c r="Q79" s="988"/>
      <c r="R79" s="989"/>
      <c r="S79" s="327">
        <v>97</v>
      </c>
      <c r="X79" s="433" t="str">
        <f t="shared" si="0"/>
        <v/>
      </c>
      <c r="Y79" s="408"/>
      <c r="Z79" s="409"/>
      <c r="AA79" s="436" t="str">
        <f t="shared" si="3"/>
        <v/>
      </c>
      <c r="AB79" s="421" t="str">
        <f t="shared" si="2"/>
        <v/>
      </c>
    </row>
    <row r="80" spans="1:28" ht="20" customHeight="1" thickBot="1">
      <c r="A80" s="934" t="str">
        <f>IFERROR(IF(ISBLANK(VLOOKUP(F80,'Aktuelle Einnahmen'!A33:G135,3,0)),"",VLOOKUP(F80,'Aktuelle Einnahmen'!A33:G135,3,0)),"")</f>
        <v/>
      </c>
      <c r="B80" s="935"/>
      <c r="C80" s="935"/>
      <c r="D80" s="935"/>
      <c r="E80" s="935"/>
      <c r="F80" s="405">
        <v>32</v>
      </c>
      <c r="G80" s="984" t="str">
        <f>IFERROR(IF(ISBLANK(VLOOKUP(K80,'Aktuelle Einnahmen'!A33:G135,3,0)),"",VLOOKUP(K80,'Aktuelle Einnahmen'!A33:G135,3,0)),"")</f>
        <v/>
      </c>
      <c r="H80" s="985"/>
      <c r="I80" s="985"/>
      <c r="J80" s="986"/>
      <c r="K80" s="324">
        <v>65</v>
      </c>
      <c r="L80" s="998"/>
      <c r="M80" s="987" t="str">
        <f>IFERROR(IF(ISBLANK(VLOOKUP(S80,'Aktuelle Einnahmen'!A33:G135,3,0)),"",VLOOKUP(S80,'Aktuelle Einnahmen'!A33:G135,3,0)),"")</f>
        <v/>
      </c>
      <c r="N80" s="988"/>
      <c r="O80" s="988"/>
      <c r="P80" s="988"/>
      <c r="Q80" s="988"/>
      <c r="R80" s="989"/>
      <c r="S80" s="327">
        <v>98</v>
      </c>
      <c r="X80" s="433" t="str">
        <f t="shared" si="0"/>
        <v/>
      </c>
      <c r="Y80" s="408"/>
      <c r="Z80" s="409"/>
      <c r="AA80" s="436" t="str">
        <f t="shared" si="3"/>
        <v/>
      </c>
      <c r="AB80" s="421" t="str">
        <f t="shared" si="2"/>
        <v/>
      </c>
    </row>
    <row r="81" spans="1:28" ht="20" customHeight="1" thickBot="1">
      <c r="A81" s="1220" t="str">
        <f>IFERROR(IF(ISBLANK(VLOOKUP(F81,'Aktuelle Einnahmen'!A34:G136,3,0)),"",VLOOKUP(F81,'Aktuelle Einnahmen'!A34:G136,3,0)),"")</f>
        <v/>
      </c>
      <c r="B81" s="1221"/>
      <c r="C81" s="1221"/>
      <c r="D81" s="1221"/>
      <c r="E81" s="1221"/>
      <c r="F81" s="406">
        <v>33</v>
      </c>
      <c r="G81" s="980" t="str">
        <f>IFERROR(IF(ISBLANK(VLOOKUP(K81,'Aktuelle Einnahmen'!A34:G136,3,0)),"",VLOOKUP(K81,'Aktuelle Einnahmen'!A34:G136,3,0)),"")</f>
        <v/>
      </c>
      <c r="H81" s="978"/>
      <c r="I81" s="978"/>
      <c r="J81" s="979"/>
      <c r="K81" s="328">
        <v>66</v>
      </c>
      <c r="L81" s="999"/>
      <c r="M81" s="981" t="str">
        <f>IFERROR(IF(ISBLANK(VLOOKUP(S81,'Aktuelle Einnahmen'!A34:G136,3,0)),"",VLOOKUP(S81,'Aktuelle Einnahmen'!A34:G136,3,0)),"")</f>
        <v/>
      </c>
      <c r="N81" s="982"/>
      <c r="O81" s="982"/>
      <c r="P81" s="982"/>
      <c r="Q81" s="982"/>
      <c r="R81" s="983"/>
      <c r="S81" s="329">
        <v>99</v>
      </c>
      <c r="X81" s="433" t="str">
        <f t="shared" si="0"/>
        <v/>
      </c>
      <c r="Y81" s="408"/>
      <c r="Z81" s="409"/>
      <c r="AA81" s="436" t="str">
        <f t="shared" si="3"/>
        <v/>
      </c>
      <c r="AB81" s="421" t="str">
        <f t="shared" si="2"/>
        <v/>
      </c>
    </row>
    <row r="82" spans="1:28" ht="20" customHeight="1" thickBot="1">
      <c r="A82" s="976" t="str">
        <f>IFERROR(IF(ISBLANK(VLOOKUP(F82,'Aktuelle Einnahmen'!A35:G137,3,0)),"",VLOOKUP(F82,'Aktuelle Einnahmen'!A35:G137,3,0)),"")</f>
        <v/>
      </c>
      <c r="B82" s="976"/>
      <c r="C82" s="976"/>
      <c r="D82" s="976"/>
      <c r="E82" s="976"/>
      <c r="F82" s="417">
        <v>34</v>
      </c>
      <c r="G82" s="399"/>
      <c r="X82" s="433" t="str">
        <f t="shared" si="0"/>
        <v/>
      </c>
      <c r="Y82" s="408"/>
      <c r="Z82" s="410"/>
      <c r="AA82" s="436" t="str">
        <f t="shared" ref="AA82:AA97" si="4">X132</f>
        <v/>
      </c>
      <c r="AB82" s="421" t="str">
        <f t="shared" si="2"/>
        <v/>
      </c>
    </row>
    <row r="83" spans="1:28" ht="20" customHeight="1" thickBot="1">
      <c r="A83" s="976" t="str">
        <f>IFERROR(IF(ISBLANK(VLOOKUP(F83,'Aktuelle Einnahmen'!A36:G138,3,0)),"",VLOOKUP(F83,'Aktuelle Einnahmen'!A36:G138,3,0)),"")</f>
        <v/>
      </c>
      <c r="B83" s="976"/>
      <c r="C83" s="976"/>
      <c r="D83" s="976"/>
      <c r="E83" s="976"/>
      <c r="F83" s="417">
        <v>35</v>
      </c>
      <c r="G83" s="399"/>
      <c r="X83" s="433" t="str">
        <f t="shared" si="0"/>
        <v/>
      </c>
      <c r="Y83" s="408"/>
      <c r="Z83" s="410"/>
      <c r="AA83" s="436" t="str">
        <f t="shared" si="4"/>
        <v/>
      </c>
      <c r="AB83" s="421" t="str">
        <f t="shared" si="2"/>
        <v/>
      </c>
    </row>
    <row r="84" spans="1:28" ht="20" customHeight="1" thickBot="1">
      <c r="A84" s="976" t="str">
        <f>IFERROR(IF(ISBLANK(VLOOKUP(F84,'Aktuelle Einnahmen'!A37:G139,3,0)),"",VLOOKUP(F84,'Aktuelle Einnahmen'!A37:G139,3,0)),"")</f>
        <v/>
      </c>
      <c r="B84" s="976"/>
      <c r="C84" s="976"/>
      <c r="D84" s="976"/>
      <c r="E84" s="976"/>
      <c r="F84" s="417">
        <v>36</v>
      </c>
      <c r="G84" s="399"/>
      <c r="X84" s="433" t="str">
        <f t="shared" si="0"/>
        <v/>
      </c>
      <c r="Y84" s="408"/>
      <c r="Z84" s="410"/>
      <c r="AA84" s="436" t="str">
        <f t="shared" si="4"/>
        <v/>
      </c>
      <c r="AB84" s="421" t="str">
        <f t="shared" si="2"/>
        <v/>
      </c>
    </row>
    <row r="85" spans="1:28" ht="20" customHeight="1" thickBot="1">
      <c r="A85" s="976" t="str">
        <f>IFERROR(IF(ISBLANK(VLOOKUP(F85,'Aktuelle Einnahmen'!A38:G140,3,0)),"",VLOOKUP(F85,'Aktuelle Einnahmen'!A38:G140,3,0)),"")</f>
        <v/>
      </c>
      <c r="B85" s="976"/>
      <c r="C85" s="976"/>
      <c r="D85" s="976"/>
      <c r="E85" s="976"/>
      <c r="F85" s="417">
        <v>37</v>
      </c>
      <c r="G85" s="399"/>
      <c r="X85" s="433" t="str">
        <f t="shared" si="0"/>
        <v/>
      </c>
      <c r="Y85" s="408"/>
      <c r="Z85" s="410"/>
      <c r="AA85" s="436" t="str">
        <f t="shared" si="4"/>
        <v/>
      </c>
      <c r="AB85" s="421" t="str">
        <f t="shared" si="2"/>
        <v/>
      </c>
    </row>
    <row r="86" spans="1:28" ht="20" customHeight="1" thickBot="1">
      <c r="A86" s="976" t="str">
        <f>IFERROR(IF(ISBLANK(VLOOKUP(F86,'Aktuelle Einnahmen'!A39:G141,3,0)),"",VLOOKUP(F86,'Aktuelle Einnahmen'!A39:G141,3,0)),"")</f>
        <v/>
      </c>
      <c r="B86" s="976"/>
      <c r="C86" s="976"/>
      <c r="D86" s="976"/>
      <c r="E86" s="976"/>
      <c r="F86" s="417">
        <v>38</v>
      </c>
      <c r="G86" s="399"/>
      <c r="X86" s="433" t="str">
        <f t="shared" si="0"/>
        <v/>
      </c>
      <c r="Y86" s="408"/>
      <c r="Z86" s="410"/>
      <c r="AA86" s="436" t="str">
        <f t="shared" si="4"/>
        <v/>
      </c>
      <c r="AB86" s="421" t="str">
        <f t="shared" si="2"/>
        <v/>
      </c>
    </row>
    <row r="87" spans="1:28" ht="20" customHeight="1" thickBot="1">
      <c r="A87" s="976" t="str">
        <f>IFERROR(IF(ISBLANK(VLOOKUP(F87,'Aktuelle Einnahmen'!A40:G142,3,0)),"",VLOOKUP(F87,'Aktuelle Einnahmen'!A40:G142,3,0)),"")</f>
        <v/>
      </c>
      <c r="B87" s="976"/>
      <c r="C87" s="976"/>
      <c r="D87" s="976"/>
      <c r="E87" s="976"/>
      <c r="F87" s="417">
        <v>39</v>
      </c>
      <c r="G87" s="399"/>
      <c r="X87" s="433" t="str">
        <f t="shared" si="0"/>
        <v/>
      </c>
      <c r="Y87" s="408"/>
      <c r="Z87" s="410"/>
      <c r="AA87" s="436" t="str">
        <f t="shared" si="4"/>
        <v/>
      </c>
      <c r="AB87" s="421" t="str">
        <f t="shared" si="2"/>
        <v/>
      </c>
    </row>
    <row r="88" spans="1:28" ht="20" customHeight="1" thickBot="1">
      <c r="A88" s="976" t="str">
        <f>IFERROR(IF(ISBLANK(VLOOKUP(F88,'Aktuelle Einnahmen'!A41:G143,3,0)),"",VLOOKUP(F88,'Aktuelle Einnahmen'!A41:G143,3,0)),"")</f>
        <v/>
      </c>
      <c r="B88" s="976"/>
      <c r="C88" s="976"/>
      <c r="D88" s="976"/>
      <c r="E88" s="976"/>
      <c r="F88" s="417">
        <v>40</v>
      </c>
      <c r="G88" s="399"/>
      <c r="X88" s="433" t="str">
        <f t="shared" si="0"/>
        <v/>
      </c>
      <c r="Y88" s="408"/>
      <c r="Z88" s="410"/>
      <c r="AA88" s="436" t="str">
        <f t="shared" si="4"/>
        <v/>
      </c>
      <c r="AB88" s="421" t="str">
        <f t="shared" si="2"/>
        <v/>
      </c>
    </row>
    <row r="89" spans="1:28" ht="20" customHeight="1" thickBot="1">
      <c r="A89" s="976" t="str">
        <f>IFERROR(IF(ISBLANK(VLOOKUP(F89,'Aktuelle Einnahmen'!A42:G144,3,0)),"",VLOOKUP(F89,'Aktuelle Einnahmen'!A42:G144,3,0)),"")</f>
        <v/>
      </c>
      <c r="B89" s="976"/>
      <c r="C89" s="976"/>
      <c r="D89" s="976"/>
      <c r="E89" s="976"/>
      <c r="F89" s="417">
        <v>41</v>
      </c>
      <c r="G89" s="399"/>
      <c r="X89" s="433" t="str">
        <f t="shared" si="0"/>
        <v/>
      </c>
      <c r="Y89" s="408"/>
      <c r="Z89" s="410"/>
      <c r="AA89" s="436" t="str">
        <f t="shared" si="4"/>
        <v/>
      </c>
      <c r="AB89" s="421" t="str">
        <f t="shared" si="2"/>
        <v/>
      </c>
    </row>
    <row r="90" spans="1:28" ht="20" customHeight="1" thickBot="1">
      <c r="A90" s="976" t="str">
        <f>IFERROR(IF(ISBLANK(VLOOKUP(F90,'Aktuelle Einnahmen'!A43:G145,3,0)),"",VLOOKUP(F90,'Aktuelle Einnahmen'!A43:G145,3,0)),"")</f>
        <v/>
      </c>
      <c r="B90" s="976"/>
      <c r="C90" s="976"/>
      <c r="D90" s="976"/>
      <c r="E90" s="976"/>
      <c r="F90" s="417">
        <v>42</v>
      </c>
      <c r="G90" s="399"/>
      <c r="X90" s="433" t="str">
        <f t="shared" si="0"/>
        <v/>
      </c>
      <c r="Y90" s="408"/>
      <c r="Z90" s="410"/>
      <c r="AA90" s="436" t="str">
        <f t="shared" si="4"/>
        <v/>
      </c>
      <c r="AB90" s="421" t="str">
        <f t="shared" si="2"/>
        <v/>
      </c>
    </row>
    <row r="91" spans="1:28" ht="20" customHeight="1" thickBot="1">
      <c r="A91" s="976" t="str">
        <f>IFERROR(IF(ISBLANK(VLOOKUP(F91,'Aktuelle Einnahmen'!A44:G146,3,0)),"",VLOOKUP(F91,'Aktuelle Einnahmen'!A44:G146,3,0)),"")</f>
        <v/>
      </c>
      <c r="B91" s="976"/>
      <c r="C91" s="976"/>
      <c r="D91" s="976"/>
      <c r="E91" s="976"/>
      <c r="F91" s="417">
        <v>43</v>
      </c>
      <c r="G91" s="399"/>
      <c r="X91" s="433" t="str">
        <f t="shared" si="0"/>
        <v/>
      </c>
      <c r="Y91" s="408"/>
      <c r="Z91" s="410"/>
      <c r="AA91" s="436" t="str">
        <f t="shared" si="4"/>
        <v/>
      </c>
      <c r="AB91" s="421" t="str">
        <f t="shared" si="2"/>
        <v/>
      </c>
    </row>
    <row r="92" spans="1:28" ht="20" customHeight="1" thickBot="1">
      <c r="A92" s="976" t="str">
        <f>IFERROR(IF(ISBLANK(VLOOKUP(F92,'Aktuelle Einnahmen'!A45:G147,3,0)),"",VLOOKUP(F92,'Aktuelle Einnahmen'!A45:G147,3,0)),"")</f>
        <v/>
      </c>
      <c r="B92" s="976"/>
      <c r="C92" s="976"/>
      <c r="D92" s="976"/>
      <c r="E92" s="976"/>
      <c r="F92" s="417">
        <v>44</v>
      </c>
      <c r="G92" s="399"/>
      <c r="X92" s="433" t="str">
        <f t="shared" si="0"/>
        <v/>
      </c>
      <c r="Y92" s="408"/>
      <c r="Z92" s="410"/>
      <c r="AA92" s="436" t="str">
        <f t="shared" si="4"/>
        <v/>
      </c>
      <c r="AB92" s="421" t="str">
        <f t="shared" si="2"/>
        <v/>
      </c>
    </row>
    <row r="93" spans="1:28" ht="20" customHeight="1" thickBot="1">
      <c r="A93" s="976" t="str">
        <f>IFERROR(IF(ISBLANK(VLOOKUP(F93,'Aktuelle Einnahmen'!A46:G148,3,0)),"",VLOOKUP(F93,'Aktuelle Einnahmen'!A46:G148,3,0)),"")</f>
        <v/>
      </c>
      <c r="B93" s="976"/>
      <c r="C93" s="976"/>
      <c r="D93" s="976"/>
      <c r="E93" s="976"/>
      <c r="F93" s="417">
        <v>45</v>
      </c>
      <c r="G93" s="399"/>
      <c r="X93" s="433" t="str">
        <f t="shared" si="0"/>
        <v/>
      </c>
      <c r="Y93" s="408"/>
      <c r="Z93" s="410"/>
      <c r="AA93" s="436" t="str">
        <f t="shared" si="4"/>
        <v/>
      </c>
      <c r="AB93" s="421" t="str">
        <f t="shared" si="2"/>
        <v/>
      </c>
    </row>
    <row r="94" spans="1:28" ht="20" customHeight="1" thickBot="1">
      <c r="A94" s="976" t="str">
        <f>IFERROR(IF(ISBLANK(VLOOKUP(F94,'Aktuelle Einnahmen'!A47:G149,3,0)),"",VLOOKUP(F94,'Aktuelle Einnahmen'!A47:G149,3,0)),"")</f>
        <v/>
      </c>
      <c r="B94" s="976"/>
      <c r="C94" s="976"/>
      <c r="D94" s="976"/>
      <c r="E94" s="976"/>
      <c r="F94" s="417">
        <v>46</v>
      </c>
      <c r="G94" s="399"/>
      <c r="X94" s="433" t="str">
        <f t="shared" si="0"/>
        <v/>
      </c>
      <c r="Y94" s="408"/>
      <c r="Z94" s="410"/>
      <c r="AA94" s="436" t="str">
        <f t="shared" si="4"/>
        <v/>
      </c>
      <c r="AB94" s="421" t="str">
        <f t="shared" si="2"/>
        <v/>
      </c>
    </row>
    <row r="95" spans="1:28" ht="20" customHeight="1" thickBot="1">
      <c r="A95" s="976" t="str">
        <f>IFERROR(IF(ISBLANK(VLOOKUP(F95,'Aktuelle Einnahmen'!A48:G150,3,0)),"",VLOOKUP(F95,'Aktuelle Einnahmen'!A48:G150,3,0)),"")</f>
        <v/>
      </c>
      <c r="B95" s="976"/>
      <c r="C95" s="976"/>
      <c r="D95" s="976"/>
      <c r="E95" s="976"/>
      <c r="F95" s="417">
        <v>47</v>
      </c>
      <c r="G95" s="399"/>
      <c r="X95" s="433" t="str">
        <f t="shared" si="0"/>
        <v/>
      </c>
      <c r="Y95" s="408"/>
      <c r="Z95" s="410"/>
      <c r="AA95" s="436" t="str">
        <f t="shared" si="4"/>
        <v/>
      </c>
      <c r="AB95" s="421" t="str">
        <f t="shared" si="2"/>
        <v/>
      </c>
    </row>
    <row r="96" spans="1:28" ht="20" customHeight="1" thickBot="1">
      <c r="A96" s="976" t="str">
        <f>IFERROR(IF(ISBLANK(VLOOKUP(F96,'Aktuelle Einnahmen'!A49:G151,3,0)),"",VLOOKUP(F96,'Aktuelle Einnahmen'!A49:G151,3,0)),"")</f>
        <v/>
      </c>
      <c r="B96" s="976"/>
      <c r="C96" s="976"/>
      <c r="D96" s="976"/>
      <c r="E96" s="976"/>
      <c r="F96" s="417">
        <v>48</v>
      </c>
      <c r="G96" s="399"/>
      <c r="X96" s="433" t="str">
        <f t="shared" si="0"/>
        <v/>
      </c>
      <c r="Y96" s="408"/>
      <c r="Z96" s="410"/>
      <c r="AA96" s="436" t="str">
        <f t="shared" si="4"/>
        <v/>
      </c>
      <c r="AB96" s="421" t="str">
        <f t="shared" si="2"/>
        <v/>
      </c>
    </row>
    <row r="97" spans="1:28" ht="20" customHeight="1" thickBot="1">
      <c r="A97" s="976" t="str">
        <f>IFERROR(IF(ISBLANK(VLOOKUP(F97,'Aktuelle Einnahmen'!A50:G152,3,0)),"",VLOOKUP(F97,'Aktuelle Einnahmen'!A50:G152,3,0)),"")</f>
        <v/>
      </c>
      <c r="B97" s="976"/>
      <c r="C97" s="976"/>
      <c r="D97" s="976"/>
      <c r="E97" s="976"/>
      <c r="F97" s="417">
        <v>49</v>
      </c>
      <c r="G97" s="399"/>
      <c r="X97" s="433" t="str">
        <f t="shared" si="0"/>
        <v/>
      </c>
      <c r="Y97" s="408"/>
      <c r="Z97" s="410"/>
      <c r="AA97" s="437" t="str">
        <f t="shared" si="4"/>
        <v/>
      </c>
      <c r="AB97" s="421" t="str">
        <f t="shared" si="2"/>
        <v/>
      </c>
    </row>
    <row r="98" spans="1:28" ht="20" customHeight="1" thickBot="1">
      <c r="A98" s="976" t="str">
        <f>IFERROR(IF(ISBLANK(VLOOKUP(F98,'Aktuelle Einnahmen'!A51:G153,3,0)),"",VLOOKUP(F98,'Aktuelle Einnahmen'!A51:G153,3,0)),"")</f>
        <v/>
      </c>
      <c r="B98" s="976"/>
      <c r="C98" s="976"/>
      <c r="D98" s="976"/>
      <c r="E98" s="976"/>
      <c r="F98" s="417">
        <v>50</v>
      </c>
      <c r="G98" s="399"/>
      <c r="X98" s="736" t="str">
        <f t="shared" si="0"/>
        <v/>
      </c>
      <c r="Y98" s="422"/>
      <c r="Z98" s="423"/>
      <c r="AA98" s="431"/>
      <c r="AB98" s="438"/>
    </row>
    <row r="99" spans="1:28" ht="20" customHeight="1">
      <c r="A99" s="976" t="str">
        <f>IFERROR(IF(ISBLANK(VLOOKUP(F99,'Aktuelle Einnahmen'!A52:G154,3,0)),"",VLOOKUP(F99,'Aktuelle Einnahmen'!A52:G154,3,0)),"")</f>
        <v/>
      </c>
      <c r="B99" s="976"/>
      <c r="C99" s="976"/>
      <c r="D99" s="976"/>
      <c r="E99" s="976"/>
      <c r="F99" s="417">
        <v>51</v>
      </c>
      <c r="G99" s="399"/>
      <c r="X99" s="434" t="str">
        <f t="shared" si="0"/>
        <v/>
      </c>
      <c r="Y99" s="399"/>
      <c r="Z99" s="110"/>
      <c r="AA99" s="432"/>
      <c r="AB99" s="110"/>
    </row>
    <row r="100" spans="1:28" ht="20" customHeight="1">
      <c r="A100" s="976" t="str">
        <f>IFERROR(IF(ISBLANK(VLOOKUP(F100,'Aktuelle Einnahmen'!A53:G155,3,0)),"",VLOOKUP(F100,'Aktuelle Einnahmen'!A53:G155,3,0)),"")</f>
        <v/>
      </c>
      <c r="B100" s="976"/>
      <c r="C100" s="976"/>
      <c r="D100" s="976"/>
      <c r="E100" s="976"/>
      <c r="F100" s="417">
        <v>52</v>
      </c>
      <c r="G100" s="399"/>
      <c r="X100" s="434" t="str">
        <f t="shared" si="0"/>
        <v/>
      </c>
      <c r="Y100" s="399"/>
    </row>
    <row r="101" spans="1:28" ht="20" customHeight="1">
      <c r="A101" s="976" t="str">
        <f>IFERROR(IF(ISBLANK(VLOOKUP(F101,'Aktuelle Einnahmen'!A54:G156,3,0)),"",VLOOKUP(F101,'Aktuelle Einnahmen'!A54:G156,3,0)),"")</f>
        <v/>
      </c>
      <c r="B101" s="976"/>
      <c r="C101" s="976"/>
      <c r="D101" s="976"/>
      <c r="E101" s="976"/>
      <c r="F101" s="417">
        <v>53</v>
      </c>
      <c r="G101" s="399"/>
      <c r="X101" s="434" t="str">
        <f t="shared" si="0"/>
        <v/>
      </c>
      <c r="Y101" s="399"/>
    </row>
    <row r="102" spans="1:28" ht="20" customHeight="1">
      <c r="A102" s="976" t="str">
        <f>IFERROR(IF(ISBLANK(VLOOKUP(F102,'Aktuelle Einnahmen'!A55:G157,3,0)),"",VLOOKUP(F102,'Aktuelle Einnahmen'!A55:G157,3,0)),"")</f>
        <v/>
      </c>
      <c r="B102" s="976"/>
      <c r="C102" s="976"/>
      <c r="D102" s="976"/>
      <c r="E102" s="976"/>
      <c r="F102" s="417">
        <v>54</v>
      </c>
      <c r="G102" s="399"/>
      <c r="X102" s="434" t="str">
        <f t="shared" si="0"/>
        <v/>
      </c>
      <c r="Y102" s="399"/>
    </row>
    <row r="103" spans="1:28" ht="20" customHeight="1">
      <c r="A103" s="976" t="str">
        <f>IFERROR(IF(ISBLANK(VLOOKUP(F103,'Aktuelle Einnahmen'!A56:G158,3,0)),"",VLOOKUP(F103,'Aktuelle Einnahmen'!A56:G158,3,0)),"")</f>
        <v/>
      </c>
      <c r="B103" s="976"/>
      <c r="C103" s="976"/>
      <c r="D103" s="976"/>
      <c r="E103" s="976"/>
      <c r="F103" s="417">
        <v>55</v>
      </c>
      <c r="G103" s="399"/>
      <c r="X103" s="434" t="str">
        <f t="shared" si="0"/>
        <v/>
      </c>
      <c r="Y103" s="399"/>
    </row>
    <row r="104" spans="1:28" ht="20" customHeight="1">
      <c r="A104" s="976" t="str">
        <f>IFERROR(IF(ISBLANK(VLOOKUP(F104,'Aktuelle Einnahmen'!A57:G159,3,0)),"",VLOOKUP(F104,'Aktuelle Einnahmen'!A57:G159,3,0)),"")</f>
        <v/>
      </c>
      <c r="B104" s="976"/>
      <c r="C104" s="976"/>
      <c r="D104" s="976"/>
      <c r="E104" s="976"/>
      <c r="F104" s="417">
        <v>56</v>
      </c>
      <c r="G104" s="399"/>
      <c r="X104" s="434" t="str">
        <f t="shared" si="0"/>
        <v/>
      </c>
      <c r="Y104" s="399"/>
    </row>
    <row r="105" spans="1:28" ht="20" customHeight="1">
      <c r="A105" s="976" t="str">
        <f>IFERROR(IF(ISBLANK(VLOOKUP(F105,'Aktuelle Einnahmen'!A58:G160,3,0)),"",VLOOKUP(F105,'Aktuelle Einnahmen'!A58:G160,3,0)),"")</f>
        <v/>
      </c>
      <c r="B105" s="976"/>
      <c r="C105" s="976"/>
      <c r="D105" s="976"/>
      <c r="E105" s="976"/>
      <c r="F105" s="417">
        <v>57</v>
      </c>
      <c r="G105" s="399"/>
      <c r="X105" s="434" t="str">
        <f t="shared" si="0"/>
        <v/>
      </c>
      <c r="Y105" s="399"/>
    </row>
    <row r="106" spans="1:28" ht="20" customHeight="1">
      <c r="A106" s="976" t="str">
        <f>IFERROR(IF(ISBLANK(VLOOKUP(F106,'Aktuelle Einnahmen'!A59:G161,3,0)),"",VLOOKUP(F106,'Aktuelle Einnahmen'!A59:G161,3,0)),"")</f>
        <v/>
      </c>
      <c r="B106" s="976"/>
      <c r="C106" s="976"/>
      <c r="D106" s="976"/>
      <c r="E106" s="976"/>
      <c r="F106" s="417">
        <v>58</v>
      </c>
      <c r="G106" s="399"/>
      <c r="X106" s="434" t="str">
        <f t="shared" si="0"/>
        <v/>
      </c>
      <c r="Y106" s="399"/>
    </row>
    <row r="107" spans="1:28" ht="20" customHeight="1">
      <c r="A107" s="976" t="str">
        <f>IFERROR(IF(ISBLANK(VLOOKUP(F107,'Aktuelle Einnahmen'!A60:G162,3,0)),"",VLOOKUP(F107,'Aktuelle Einnahmen'!A60:G162,3,0)),"")</f>
        <v/>
      </c>
      <c r="B107" s="976"/>
      <c r="C107" s="976"/>
      <c r="D107" s="976"/>
      <c r="E107" s="976"/>
      <c r="F107" s="417">
        <v>59</v>
      </c>
      <c r="G107" s="399"/>
      <c r="X107" s="434" t="str">
        <f t="shared" si="0"/>
        <v/>
      </c>
      <c r="Y107" s="399"/>
    </row>
    <row r="108" spans="1:28" ht="20" customHeight="1">
      <c r="A108" s="976" t="str">
        <f>IFERROR(IF(ISBLANK(VLOOKUP(F108,'Aktuelle Einnahmen'!A61:G163,3,0)),"",VLOOKUP(F108,'Aktuelle Einnahmen'!A61:G163,3,0)),"")</f>
        <v/>
      </c>
      <c r="B108" s="976"/>
      <c r="C108" s="976"/>
      <c r="D108" s="976"/>
      <c r="E108" s="976"/>
      <c r="F108" s="417">
        <v>60</v>
      </c>
      <c r="G108" s="399"/>
      <c r="X108" s="434" t="str">
        <f t="shared" si="0"/>
        <v/>
      </c>
      <c r="Y108" s="399"/>
    </row>
    <row r="109" spans="1:28" ht="20" customHeight="1">
      <c r="A109" s="976" t="str">
        <f>IFERROR(IF(ISBLANK(VLOOKUP(F109,'Aktuelle Einnahmen'!A62:G164,3,0)),"",VLOOKUP(F109,'Aktuelle Einnahmen'!A62:G164,3,0)),"")</f>
        <v/>
      </c>
      <c r="B109" s="976"/>
      <c r="C109" s="976"/>
      <c r="D109" s="976"/>
      <c r="E109" s="976"/>
      <c r="F109" s="417">
        <v>61</v>
      </c>
      <c r="G109" s="399"/>
      <c r="X109" s="434" t="str">
        <f t="shared" si="0"/>
        <v/>
      </c>
      <c r="Y109" s="399"/>
    </row>
    <row r="110" spans="1:28" ht="20" customHeight="1">
      <c r="A110" s="976" t="str">
        <f>IFERROR(IF(ISBLANK(VLOOKUP(F110,'Aktuelle Einnahmen'!A63:G165,3,0)),"",VLOOKUP(F110,'Aktuelle Einnahmen'!A63:G165,3,0)),"")</f>
        <v/>
      </c>
      <c r="B110" s="976"/>
      <c r="C110" s="976"/>
      <c r="D110" s="976"/>
      <c r="E110" s="976"/>
      <c r="F110" s="417">
        <v>62</v>
      </c>
      <c r="G110" s="399"/>
      <c r="X110" s="434" t="str">
        <f t="shared" si="0"/>
        <v/>
      </c>
      <c r="Y110" s="399"/>
    </row>
    <row r="111" spans="1:28" ht="20" customHeight="1">
      <c r="A111" s="976" t="str">
        <f>IFERROR(IF(ISBLANK(VLOOKUP(F111,'Aktuelle Einnahmen'!A64:G166,3,0)),"",VLOOKUP(F111,'Aktuelle Einnahmen'!A64:G166,3,0)),"")</f>
        <v/>
      </c>
      <c r="B111" s="976"/>
      <c r="C111" s="976"/>
      <c r="D111" s="976"/>
      <c r="E111" s="976"/>
      <c r="F111" s="417">
        <v>63</v>
      </c>
      <c r="G111" s="399"/>
      <c r="X111" s="434" t="str">
        <f t="shared" si="0"/>
        <v/>
      </c>
      <c r="Y111" s="399"/>
    </row>
    <row r="112" spans="1:28" ht="20" customHeight="1">
      <c r="A112" s="976" t="str">
        <f>IFERROR(IF(ISBLANK(VLOOKUP(F112,'Aktuelle Einnahmen'!A65:G167,3,0)),"",VLOOKUP(F112,'Aktuelle Einnahmen'!A65:G167,3,0)),"")</f>
        <v/>
      </c>
      <c r="B112" s="976"/>
      <c r="C112" s="976"/>
      <c r="D112" s="976"/>
      <c r="E112" s="976"/>
      <c r="F112" s="417">
        <v>64</v>
      </c>
      <c r="G112" s="399"/>
      <c r="X112" s="434" t="str">
        <f t="shared" si="0"/>
        <v/>
      </c>
      <c r="Y112" s="399"/>
    </row>
    <row r="113" spans="1:25" ht="20" customHeight="1">
      <c r="A113" s="976" t="str">
        <f>IFERROR(IF(ISBLANK(VLOOKUP(F113,'Aktuelle Einnahmen'!A66:G168,3,0)),"",VLOOKUP(F113,'Aktuelle Einnahmen'!A66:G168,3,0)),"")</f>
        <v/>
      </c>
      <c r="B113" s="976"/>
      <c r="C113" s="976"/>
      <c r="D113" s="976"/>
      <c r="E113" s="976"/>
      <c r="F113" s="417">
        <v>65</v>
      </c>
      <c r="G113" s="399"/>
      <c r="X113" s="434" t="str">
        <f t="shared" si="0"/>
        <v/>
      </c>
      <c r="Y113" s="399"/>
    </row>
    <row r="114" spans="1:25" ht="20" customHeight="1">
      <c r="A114" s="976" t="str">
        <f>IFERROR(IF(ISBLANK(VLOOKUP(F114,'Aktuelle Einnahmen'!A67:G169,3,0)),"",VLOOKUP(F114,'Aktuelle Einnahmen'!A67:G169,3,0)),"")</f>
        <v/>
      </c>
      <c r="B114" s="976"/>
      <c r="C114" s="976"/>
      <c r="D114" s="976"/>
      <c r="E114" s="976"/>
      <c r="F114" s="417">
        <v>66</v>
      </c>
      <c r="G114" s="399"/>
      <c r="X114" s="434" t="str">
        <f t="shared" ref="X114:X147" si="5">IFERROR(INDEX($F$36:$F$147, MATCH(Y114, $A$36:$A$147, 0)), "")</f>
        <v/>
      </c>
      <c r="Y114" s="399"/>
    </row>
    <row r="115" spans="1:25" ht="20" customHeight="1">
      <c r="A115" s="976" t="str">
        <f>IFERROR(IF(ISBLANK(VLOOKUP(F115,'Aktuelle Einnahmen'!A68:G170,3,0)),"",VLOOKUP(F115,'Aktuelle Einnahmen'!A68:G170,3,0)),"")</f>
        <v/>
      </c>
      <c r="B115" s="976"/>
      <c r="C115" s="976"/>
      <c r="D115" s="976"/>
      <c r="E115" s="976"/>
      <c r="F115" s="417">
        <v>67</v>
      </c>
      <c r="G115" s="399"/>
      <c r="X115" s="434" t="str">
        <f t="shared" si="5"/>
        <v/>
      </c>
      <c r="Y115" s="399"/>
    </row>
    <row r="116" spans="1:25" ht="20" customHeight="1">
      <c r="A116" s="976" t="str">
        <f>IFERROR(IF(ISBLANK(VLOOKUP(F116,'Aktuelle Einnahmen'!A69:G171,3,0)),"",VLOOKUP(F116,'Aktuelle Einnahmen'!A69:G171,3,0)),"")</f>
        <v/>
      </c>
      <c r="B116" s="976"/>
      <c r="C116" s="976"/>
      <c r="D116" s="976"/>
      <c r="E116" s="976"/>
      <c r="F116" s="417">
        <v>68</v>
      </c>
      <c r="G116" s="399"/>
      <c r="X116" s="434" t="str">
        <f t="shared" si="5"/>
        <v/>
      </c>
      <c r="Y116" s="399"/>
    </row>
    <row r="117" spans="1:25" ht="20" customHeight="1">
      <c r="A117" s="976" t="str">
        <f>IFERROR(IF(ISBLANK(VLOOKUP(F117,'Aktuelle Einnahmen'!A70:G172,3,0)),"",VLOOKUP(F117,'Aktuelle Einnahmen'!A70:G172,3,0)),"")</f>
        <v/>
      </c>
      <c r="B117" s="976"/>
      <c r="C117" s="976"/>
      <c r="D117" s="976"/>
      <c r="E117" s="976"/>
      <c r="F117" s="417">
        <v>69</v>
      </c>
      <c r="G117" s="399"/>
      <c r="X117" s="434" t="str">
        <f t="shared" si="5"/>
        <v/>
      </c>
      <c r="Y117" s="399"/>
    </row>
    <row r="118" spans="1:25" ht="20" customHeight="1">
      <c r="A118" s="976" t="str">
        <f>IFERROR(IF(ISBLANK(VLOOKUP(F118,'Aktuelle Einnahmen'!A71:G173,3,0)),"",VLOOKUP(F118,'Aktuelle Einnahmen'!A71:G173,3,0)),"")</f>
        <v/>
      </c>
      <c r="B118" s="976"/>
      <c r="C118" s="976"/>
      <c r="D118" s="976"/>
      <c r="E118" s="976"/>
      <c r="F118" s="417">
        <v>70</v>
      </c>
      <c r="G118" s="399"/>
      <c r="X118" s="434" t="str">
        <f t="shared" si="5"/>
        <v/>
      </c>
      <c r="Y118" s="399"/>
    </row>
    <row r="119" spans="1:25" ht="20" customHeight="1">
      <c r="A119" s="976" t="str">
        <f>IFERROR(IF(ISBLANK(VLOOKUP(F119,'Aktuelle Einnahmen'!A72:G174,3,0)),"",VLOOKUP(F119,'Aktuelle Einnahmen'!A72:G174,3,0)),"")</f>
        <v/>
      </c>
      <c r="B119" s="976"/>
      <c r="C119" s="976"/>
      <c r="D119" s="976"/>
      <c r="E119" s="976"/>
      <c r="F119" s="417">
        <v>71</v>
      </c>
      <c r="G119" s="399"/>
      <c r="X119" s="434" t="str">
        <f t="shared" si="5"/>
        <v/>
      </c>
      <c r="Y119" s="399"/>
    </row>
    <row r="120" spans="1:25" ht="20" customHeight="1">
      <c r="A120" s="976" t="str">
        <f>IFERROR(IF(ISBLANK(VLOOKUP(F120,'Aktuelle Einnahmen'!A73:G175,3,0)),"",VLOOKUP(F120,'Aktuelle Einnahmen'!A73:G175,3,0)),"")</f>
        <v/>
      </c>
      <c r="B120" s="976"/>
      <c r="C120" s="976"/>
      <c r="D120" s="976"/>
      <c r="E120" s="976"/>
      <c r="F120" s="417">
        <v>72</v>
      </c>
      <c r="G120" s="399"/>
      <c r="X120" s="434" t="str">
        <f t="shared" si="5"/>
        <v/>
      </c>
      <c r="Y120" s="399"/>
    </row>
    <row r="121" spans="1:25" ht="20" customHeight="1">
      <c r="A121" s="976" t="str">
        <f>IFERROR(IF(ISBLANK(VLOOKUP(F121,'Aktuelle Einnahmen'!A74:G176,3,0)),"",VLOOKUP(F121,'Aktuelle Einnahmen'!A74:G176,3,0)),"")</f>
        <v/>
      </c>
      <c r="B121" s="976"/>
      <c r="C121" s="976"/>
      <c r="D121" s="976"/>
      <c r="E121" s="976"/>
      <c r="F121" s="417">
        <v>73</v>
      </c>
      <c r="G121" s="399"/>
      <c r="X121" s="434" t="str">
        <f t="shared" si="5"/>
        <v/>
      </c>
      <c r="Y121" s="399"/>
    </row>
    <row r="122" spans="1:25" ht="20" customHeight="1">
      <c r="A122" s="976" t="str">
        <f>IFERROR(IF(ISBLANK(VLOOKUP(F122,'Aktuelle Einnahmen'!A75:G177,3,0)),"",VLOOKUP(F122,'Aktuelle Einnahmen'!A75:G177,3,0)),"")</f>
        <v/>
      </c>
      <c r="B122" s="976"/>
      <c r="C122" s="976"/>
      <c r="D122" s="976"/>
      <c r="E122" s="976"/>
      <c r="F122" s="417">
        <v>74</v>
      </c>
      <c r="G122" s="399"/>
      <c r="X122" s="434" t="str">
        <f t="shared" si="5"/>
        <v/>
      </c>
      <c r="Y122" s="399"/>
    </row>
    <row r="123" spans="1:25" ht="20" customHeight="1">
      <c r="A123" s="976" t="str">
        <f>IFERROR(IF(ISBLANK(VLOOKUP(F123,'Aktuelle Einnahmen'!A76:G178,3,0)),"",VLOOKUP(F123,'Aktuelle Einnahmen'!A76:G178,3,0)),"")</f>
        <v/>
      </c>
      <c r="B123" s="976"/>
      <c r="C123" s="976"/>
      <c r="D123" s="976"/>
      <c r="E123" s="976"/>
      <c r="F123" s="417">
        <v>75</v>
      </c>
      <c r="G123" s="399"/>
      <c r="X123" s="434" t="str">
        <f t="shared" si="5"/>
        <v/>
      </c>
      <c r="Y123" s="399"/>
    </row>
    <row r="124" spans="1:25" ht="20" customHeight="1">
      <c r="A124" s="976" t="str">
        <f>IFERROR(IF(ISBLANK(VLOOKUP(F124,'Aktuelle Einnahmen'!A77:G179,3,0)),"",VLOOKUP(F124,'Aktuelle Einnahmen'!A77:G179,3,0)),"")</f>
        <v/>
      </c>
      <c r="B124" s="976"/>
      <c r="C124" s="976"/>
      <c r="D124" s="976"/>
      <c r="E124" s="976"/>
      <c r="F124" s="417">
        <v>76</v>
      </c>
      <c r="G124" s="399"/>
      <c r="X124" s="434" t="str">
        <f t="shared" si="5"/>
        <v/>
      </c>
      <c r="Y124" s="399"/>
    </row>
    <row r="125" spans="1:25" ht="20" customHeight="1">
      <c r="A125" s="976" t="str">
        <f>IFERROR(IF(ISBLANK(VLOOKUP(F125,'Aktuelle Einnahmen'!A78:G180,3,0)),"",VLOOKUP(F125,'Aktuelle Einnahmen'!A78:G180,3,0)),"")</f>
        <v/>
      </c>
      <c r="B125" s="976"/>
      <c r="C125" s="976"/>
      <c r="D125" s="976"/>
      <c r="E125" s="976"/>
      <c r="F125" s="417">
        <v>77</v>
      </c>
      <c r="G125" s="399"/>
      <c r="X125" s="434" t="str">
        <f t="shared" si="5"/>
        <v/>
      </c>
      <c r="Y125" s="399"/>
    </row>
    <row r="126" spans="1:25" ht="20" customHeight="1">
      <c r="A126" s="976" t="str">
        <f>IFERROR(IF(ISBLANK(VLOOKUP(F126,'Aktuelle Einnahmen'!A79:G181,3,0)),"",VLOOKUP(F126,'Aktuelle Einnahmen'!A79:G181,3,0)),"")</f>
        <v/>
      </c>
      <c r="B126" s="976"/>
      <c r="C126" s="976"/>
      <c r="D126" s="976"/>
      <c r="E126" s="976"/>
      <c r="F126" s="417">
        <v>78</v>
      </c>
      <c r="G126" s="399"/>
      <c r="X126" s="434" t="str">
        <f t="shared" si="5"/>
        <v/>
      </c>
      <c r="Y126" s="399"/>
    </row>
    <row r="127" spans="1:25" ht="20" customHeight="1">
      <c r="A127" s="976" t="str">
        <f>IFERROR(IF(ISBLANK(VLOOKUP(F127,'Aktuelle Einnahmen'!A80:G182,3,0)),"",VLOOKUP(F127,'Aktuelle Einnahmen'!A80:G182,3,0)),"")</f>
        <v/>
      </c>
      <c r="B127" s="976"/>
      <c r="C127" s="976"/>
      <c r="D127" s="976"/>
      <c r="E127" s="976"/>
      <c r="F127" s="417">
        <v>79</v>
      </c>
      <c r="G127" s="399"/>
      <c r="X127" s="434" t="str">
        <f t="shared" si="5"/>
        <v/>
      </c>
      <c r="Y127" s="399"/>
    </row>
    <row r="128" spans="1:25" ht="20" customHeight="1">
      <c r="A128" s="976" t="str">
        <f>IFERROR(IF(ISBLANK(VLOOKUP(F128,'Aktuelle Einnahmen'!A81:G183,3,0)),"",VLOOKUP(F128,'Aktuelle Einnahmen'!A81:G183,3,0)),"")</f>
        <v/>
      </c>
      <c r="B128" s="976"/>
      <c r="C128" s="976"/>
      <c r="D128" s="976"/>
      <c r="E128" s="976"/>
      <c r="F128" s="417">
        <v>80</v>
      </c>
      <c r="G128" s="399"/>
      <c r="X128" s="434" t="str">
        <f t="shared" si="5"/>
        <v/>
      </c>
      <c r="Y128" s="399"/>
    </row>
    <row r="129" spans="1:25" ht="20" customHeight="1">
      <c r="A129" s="976" t="str">
        <f>IFERROR(IF(ISBLANK(VLOOKUP(F129,'Aktuelle Einnahmen'!A82:G184,3,0)),"",VLOOKUP(F129,'Aktuelle Einnahmen'!A82:G184,3,0)),"")</f>
        <v/>
      </c>
      <c r="B129" s="976"/>
      <c r="C129" s="976"/>
      <c r="D129" s="976"/>
      <c r="E129" s="976"/>
      <c r="F129" s="417">
        <v>81</v>
      </c>
      <c r="G129" s="399"/>
      <c r="X129" s="434" t="str">
        <f t="shared" si="5"/>
        <v/>
      </c>
      <c r="Y129" s="399"/>
    </row>
    <row r="130" spans="1:25" ht="20" customHeight="1">
      <c r="A130" s="976" t="str">
        <f>IFERROR(IF(ISBLANK(VLOOKUP(F130,'Aktuelle Einnahmen'!A83:G185,3,0)),"",VLOOKUP(F130,'Aktuelle Einnahmen'!A83:G185,3,0)),"")</f>
        <v/>
      </c>
      <c r="B130" s="976"/>
      <c r="C130" s="976"/>
      <c r="D130" s="976"/>
      <c r="E130" s="976"/>
      <c r="F130" s="417">
        <v>82</v>
      </c>
      <c r="G130" s="399"/>
      <c r="X130" s="434" t="str">
        <f t="shared" si="5"/>
        <v/>
      </c>
      <c r="Y130" s="399"/>
    </row>
    <row r="131" spans="1:25" ht="20" customHeight="1">
      <c r="A131" s="976" t="str">
        <f>IFERROR(IF(ISBLANK(VLOOKUP(F131,'Aktuelle Einnahmen'!A84:G186,3,0)),"",VLOOKUP(F131,'Aktuelle Einnahmen'!A84:G186,3,0)),"")</f>
        <v/>
      </c>
      <c r="B131" s="976"/>
      <c r="C131" s="976"/>
      <c r="D131" s="976"/>
      <c r="E131" s="976"/>
      <c r="F131" s="417">
        <v>83</v>
      </c>
      <c r="G131" s="399"/>
      <c r="X131" s="434" t="str">
        <f t="shared" si="5"/>
        <v/>
      </c>
      <c r="Y131" s="399"/>
    </row>
    <row r="132" spans="1:25" ht="20" customHeight="1">
      <c r="A132" s="976" t="str">
        <f>IFERROR(IF(ISBLANK(VLOOKUP(F132,'Aktuelle Einnahmen'!A85:G187,3,0)),"",VLOOKUP(F132,'Aktuelle Einnahmen'!A85:G187,3,0)),"")</f>
        <v/>
      </c>
      <c r="B132" s="976"/>
      <c r="C132" s="976"/>
      <c r="D132" s="976"/>
      <c r="E132" s="976"/>
      <c r="F132" s="417">
        <v>84</v>
      </c>
      <c r="G132" s="399"/>
      <c r="X132" s="434" t="str">
        <f t="shared" si="5"/>
        <v/>
      </c>
      <c r="Y132" s="399"/>
    </row>
    <row r="133" spans="1:25" ht="20" customHeight="1">
      <c r="A133" s="976" t="str">
        <f>IFERROR(IF(ISBLANK(VLOOKUP(F133,'Aktuelle Einnahmen'!A86:G188,3,0)),"",VLOOKUP(F133,'Aktuelle Einnahmen'!A86:G188,3,0)),"")</f>
        <v/>
      </c>
      <c r="B133" s="976"/>
      <c r="C133" s="976"/>
      <c r="D133" s="976"/>
      <c r="E133" s="976"/>
      <c r="F133" s="417">
        <v>85</v>
      </c>
      <c r="G133" s="399"/>
      <c r="X133" s="434" t="str">
        <f t="shared" si="5"/>
        <v/>
      </c>
      <c r="Y133" s="399"/>
    </row>
    <row r="134" spans="1:25" ht="20" customHeight="1">
      <c r="A134" s="976" t="str">
        <f>IFERROR(IF(ISBLANK(VLOOKUP(F134,'Aktuelle Einnahmen'!A87:G189,3,0)),"",VLOOKUP(F134,'Aktuelle Einnahmen'!A87:G189,3,0)),"")</f>
        <v/>
      </c>
      <c r="B134" s="976"/>
      <c r="C134" s="976"/>
      <c r="D134" s="976"/>
      <c r="E134" s="976"/>
      <c r="F134" s="417">
        <v>86</v>
      </c>
      <c r="G134" s="399"/>
      <c r="X134" s="434" t="str">
        <f t="shared" si="5"/>
        <v/>
      </c>
      <c r="Y134" s="399"/>
    </row>
    <row r="135" spans="1:25" ht="20" customHeight="1">
      <c r="A135" s="976" t="str">
        <f>IFERROR(IF(ISBLANK(VLOOKUP(F135,'Aktuelle Einnahmen'!A88:G190,3,0)),"",VLOOKUP(F135,'Aktuelle Einnahmen'!A88:G190,3,0)),"")</f>
        <v/>
      </c>
      <c r="B135" s="976"/>
      <c r="C135" s="976"/>
      <c r="D135" s="976"/>
      <c r="E135" s="976"/>
      <c r="F135" s="417">
        <v>87</v>
      </c>
      <c r="G135" s="399"/>
      <c r="X135" s="434" t="str">
        <f t="shared" si="5"/>
        <v/>
      </c>
      <c r="Y135" s="399"/>
    </row>
    <row r="136" spans="1:25" ht="20" customHeight="1">
      <c r="A136" s="976" t="str">
        <f>IFERROR(IF(ISBLANK(VLOOKUP(F136,'Aktuelle Einnahmen'!A89:G191,3,0)),"",VLOOKUP(F136,'Aktuelle Einnahmen'!A89:G191,3,0)),"")</f>
        <v/>
      </c>
      <c r="B136" s="976"/>
      <c r="C136" s="976"/>
      <c r="D136" s="976"/>
      <c r="E136" s="976"/>
      <c r="F136" s="417">
        <v>88</v>
      </c>
      <c r="G136" s="399"/>
      <c r="X136" s="434" t="str">
        <f t="shared" si="5"/>
        <v/>
      </c>
      <c r="Y136" s="399"/>
    </row>
    <row r="137" spans="1:25" ht="20" customHeight="1">
      <c r="A137" s="976" t="str">
        <f>IFERROR(IF(ISBLANK(VLOOKUP(F137,'Aktuelle Einnahmen'!A90:G192,3,0)),"",VLOOKUP(F137,'Aktuelle Einnahmen'!A90:G192,3,0)),"")</f>
        <v/>
      </c>
      <c r="B137" s="976"/>
      <c r="C137" s="976"/>
      <c r="D137" s="976"/>
      <c r="E137" s="976"/>
      <c r="F137" s="417">
        <v>89</v>
      </c>
      <c r="G137" s="399"/>
      <c r="X137" s="434" t="str">
        <f t="shared" si="5"/>
        <v/>
      </c>
      <c r="Y137" s="399"/>
    </row>
    <row r="138" spans="1:25" ht="20" customHeight="1">
      <c r="A138" s="976" t="str">
        <f>IFERROR(IF(ISBLANK(VLOOKUP(F138,'Aktuelle Einnahmen'!A91:G193,3,0)),"",VLOOKUP(F138,'Aktuelle Einnahmen'!A91:G193,3,0)),"")</f>
        <v/>
      </c>
      <c r="B138" s="976"/>
      <c r="C138" s="976"/>
      <c r="D138" s="976"/>
      <c r="E138" s="976"/>
      <c r="F138" s="417">
        <v>90</v>
      </c>
      <c r="G138" s="399"/>
      <c r="X138" s="434" t="str">
        <f t="shared" si="5"/>
        <v/>
      </c>
      <c r="Y138" s="399"/>
    </row>
    <row r="139" spans="1:25" ht="20" customHeight="1">
      <c r="A139" s="976" t="str">
        <f>IFERROR(IF(ISBLANK(VLOOKUP(F139,'Aktuelle Einnahmen'!A92:G194,3,0)),"",VLOOKUP(F139,'Aktuelle Einnahmen'!A92:G194,3,0)),"")</f>
        <v/>
      </c>
      <c r="B139" s="976"/>
      <c r="C139" s="976"/>
      <c r="D139" s="976"/>
      <c r="E139" s="976"/>
      <c r="F139" s="417">
        <v>91</v>
      </c>
      <c r="G139" s="399"/>
      <c r="X139" s="434" t="str">
        <f t="shared" si="5"/>
        <v/>
      </c>
      <c r="Y139" s="399"/>
    </row>
    <row r="140" spans="1:25" ht="20" customHeight="1">
      <c r="A140" s="976" t="str">
        <f>IFERROR(IF(ISBLANK(VLOOKUP(F140,'Aktuelle Einnahmen'!A93:G195,3,0)),"",VLOOKUP(F140,'Aktuelle Einnahmen'!A93:G195,3,0)),"")</f>
        <v/>
      </c>
      <c r="B140" s="976"/>
      <c r="C140" s="976"/>
      <c r="D140" s="976"/>
      <c r="E140" s="976"/>
      <c r="F140" s="417">
        <v>92</v>
      </c>
      <c r="G140" s="399"/>
      <c r="X140" s="434" t="str">
        <f t="shared" si="5"/>
        <v/>
      </c>
      <c r="Y140" s="399"/>
    </row>
    <row r="141" spans="1:25" ht="20" customHeight="1">
      <c r="A141" s="976" t="str">
        <f>IFERROR(IF(ISBLANK(VLOOKUP(F141,'Aktuelle Einnahmen'!A94:G196,3,0)),"",VLOOKUP(F141,'Aktuelle Einnahmen'!A94:G196,3,0)),"")</f>
        <v/>
      </c>
      <c r="B141" s="976"/>
      <c r="C141" s="976"/>
      <c r="D141" s="976"/>
      <c r="E141" s="976"/>
      <c r="F141" s="417">
        <v>93</v>
      </c>
      <c r="G141" s="399"/>
      <c r="X141" s="434" t="str">
        <f t="shared" si="5"/>
        <v/>
      </c>
      <c r="Y141" s="399"/>
    </row>
    <row r="142" spans="1:25" ht="20" customHeight="1">
      <c r="A142" s="976" t="str">
        <f>IFERROR(IF(ISBLANK(VLOOKUP(F142,'Aktuelle Einnahmen'!A95:G197,3,0)),"",VLOOKUP(F142,'Aktuelle Einnahmen'!A95:G197,3,0)),"")</f>
        <v/>
      </c>
      <c r="B142" s="976"/>
      <c r="C142" s="976"/>
      <c r="D142" s="976"/>
      <c r="E142" s="976"/>
      <c r="F142" s="417">
        <v>94</v>
      </c>
      <c r="G142" s="399"/>
      <c r="X142" s="434" t="str">
        <f t="shared" si="5"/>
        <v/>
      </c>
      <c r="Y142" s="399"/>
    </row>
    <row r="143" spans="1:25" ht="20" customHeight="1">
      <c r="A143" s="976" t="str">
        <f>IFERROR(IF(ISBLANK(VLOOKUP(F143,'Aktuelle Einnahmen'!A96:G198,3,0)),"",VLOOKUP(F143,'Aktuelle Einnahmen'!A96:G198,3,0)),"")</f>
        <v/>
      </c>
      <c r="B143" s="976"/>
      <c r="C143" s="976"/>
      <c r="D143" s="976"/>
      <c r="E143" s="976"/>
      <c r="F143" s="417">
        <v>95</v>
      </c>
      <c r="G143" s="399"/>
      <c r="X143" s="434" t="str">
        <f t="shared" si="5"/>
        <v/>
      </c>
      <c r="Y143" s="399"/>
    </row>
    <row r="144" spans="1:25" ht="20" customHeight="1">
      <c r="A144" s="976" t="str">
        <f>IFERROR(IF(ISBLANK(VLOOKUP(F144,'Aktuelle Einnahmen'!A97:G199,3,0)),"",VLOOKUP(F144,'Aktuelle Einnahmen'!A97:G199,3,0)),"")</f>
        <v/>
      </c>
      <c r="B144" s="976"/>
      <c r="C144" s="976"/>
      <c r="D144" s="976"/>
      <c r="E144" s="976"/>
      <c r="F144" s="417">
        <v>96</v>
      </c>
      <c r="G144" s="399"/>
      <c r="X144" s="434" t="str">
        <f t="shared" si="5"/>
        <v/>
      </c>
      <c r="Y144" s="399"/>
    </row>
    <row r="145" spans="1:25" ht="20" customHeight="1" thickBot="1">
      <c r="A145" s="1222" t="str">
        <f>IFERROR(IF(ISBLANK(VLOOKUP(F145,'Aktuelle Einnahmen'!A98:G200,3,0)),"",VLOOKUP(F145,'Aktuelle Einnahmen'!A98:G200,3,0)),"")</f>
        <v/>
      </c>
      <c r="B145" s="1223"/>
      <c r="C145" s="1223"/>
      <c r="D145" s="1223"/>
      <c r="E145" s="1223"/>
      <c r="F145" s="734">
        <v>97</v>
      </c>
      <c r="G145" s="399"/>
      <c r="X145" s="735" t="str">
        <f t="shared" si="5"/>
        <v/>
      </c>
      <c r="Y145" s="399"/>
    </row>
    <row r="146" spans="1:25" ht="20" customHeight="1" thickBot="1">
      <c r="A146" s="934" t="str">
        <f>IFERROR(IF(ISBLANK(VLOOKUP(F146,'Aktuelle Einnahmen'!A99:G201,3,0)),"",VLOOKUP(F146,'Aktuelle Einnahmen'!A99:G201,3,0)),"")</f>
        <v/>
      </c>
      <c r="B146" s="935"/>
      <c r="C146" s="935"/>
      <c r="D146" s="935"/>
      <c r="E146" s="935"/>
      <c r="F146" s="405">
        <v>98</v>
      </c>
      <c r="G146" s="399"/>
      <c r="X146" s="433" t="str">
        <f t="shared" si="5"/>
        <v/>
      </c>
      <c r="Y146" s="399"/>
    </row>
    <row r="147" spans="1:25" ht="20" customHeight="1" thickBot="1">
      <c r="A147" s="934" t="str">
        <f>IFERROR(IF(ISBLANK(VLOOKUP(F147,'Aktuelle Einnahmen'!A100:G202,3,0)),"",VLOOKUP(F147,'Aktuelle Einnahmen'!A100:G202,3,0)),"")</f>
        <v/>
      </c>
      <c r="B147" s="935"/>
      <c r="C147" s="935"/>
      <c r="D147" s="935"/>
      <c r="E147" s="935"/>
      <c r="F147" s="406">
        <v>99</v>
      </c>
      <c r="G147" s="399"/>
      <c r="X147" s="433" t="str">
        <f t="shared" si="5"/>
        <v/>
      </c>
      <c r="Y147" s="399"/>
    </row>
    <row r="148" spans="1:25" ht="20" customHeight="1">
      <c r="A148" s="976" t="str">
        <f>IFERROR(IF(ISBLANK(VLOOKUP(F148,'Aktuelle Einnahmen'!A101:G203,3,0)),"",VLOOKUP(F148,'Aktuelle Einnahmen'!A101:G203,3,0)),"")</f>
        <v/>
      </c>
      <c r="B148" s="976"/>
      <c r="C148" s="976"/>
      <c r="D148" s="976"/>
      <c r="E148" s="976"/>
      <c r="F148" s="399"/>
      <c r="G148" s="399"/>
      <c r="X148" s="429" t="str">
        <f t="shared" ref="X148" si="6">IFERROR(INDEX($F$36:$F$135, MATCH(Y148, $A$36:$A$135, 0)), "")</f>
        <v/>
      </c>
      <c r="Y148" s="399"/>
    </row>
    <row r="149" spans="1:25" ht="20" customHeight="1">
      <c r="A149" s="399"/>
      <c r="B149" s="399"/>
      <c r="C149" s="399"/>
      <c r="D149" s="399"/>
      <c r="E149" s="399"/>
      <c r="F149" s="399"/>
      <c r="G149" s="399"/>
      <c r="X149" s="399"/>
      <c r="Y149" s="399"/>
    </row>
    <row r="150" spans="1:25" ht="20" customHeight="1">
      <c r="A150" s="399"/>
      <c r="B150" s="399"/>
      <c r="C150" s="399"/>
      <c r="D150" s="399"/>
      <c r="E150" s="399"/>
      <c r="F150" s="399"/>
      <c r="G150" s="399"/>
      <c r="X150" s="399"/>
      <c r="Y150" s="399"/>
    </row>
  </sheetData>
  <sheetProtection algorithmName="SHA-512" hashValue="qOa1VYSukA8cZ/1nU4PCFV7M+ZQGonpzWRyDDd2FL1rVRSKerXw3Z7bcs/KmAFl+HqKNNUofoCKt2KghudKyTw==" saltValue="Jx4IrqRe6+JisUnLHqUatw==" spinCount="100000" sheet="1" objects="1" scenarios="1"/>
  <mergeCells count="280">
    <mergeCell ref="A145:E145"/>
    <mergeCell ref="A146:E146"/>
    <mergeCell ref="A147:E147"/>
    <mergeCell ref="A148:E148"/>
    <mergeCell ref="X48:AB48"/>
    <mergeCell ref="A136:E136"/>
    <mergeCell ref="A137:E137"/>
    <mergeCell ref="A138:E138"/>
    <mergeCell ref="A139:E139"/>
    <mergeCell ref="A140:E140"/>
    <mergeCell ref="A141:E141"/>
    <mergeCell ref="A142:E142"/>
    <mergeCell ref="A143:E143"/>
    <mergeCell ref="A144:E144"/>
    <mergeCell ref="A127:E127"/>
    <mergeCell ref="A128:E128"/>
    <mergeCell ref="A129:E129"/>
    <mergeCell ref="A130:E130"/>
    <mergeCell ref="A131:E131"/>
    <mergeCell ref="A132:E132"/>
    <mergeCell ref="A133:E133"/>
    <mergeCell ref="A134:E134"/>
    <mergeCell ref="A135:E135"/>
    <mergeCell ref="A118:E118"/>
    <mergeCell ref="A121:E121"/>
    <mergeCell ref="A122:E122"/>
    <mergeCell ref="A123:E123"/>
    <mergeCell ref="A124:E124"/>
    <mergeCell ref="A125:E125"/>
    <mergeCell ref="A126:E126"/>
    <mergeCell ref="A109:E109"/>
    <mergeCell ref="A110:E110"/>
    <mergeCell ref="A111:E111"/>
    <mergeCell ref="A112:E112"/>
    <mergeCell ref="A113:E113"/>
    <mergeCell ref="A114:E114"/>
    <mergeCell ref="A115:E115"/>
    <mergeCell ref="A116:E116"/>
    <mergeCell ref="A117:E117"/>
    <mergeCell ref="A102:E102"/>
    <mergeCell ref="A103:E103"/>
    <mergeCell ref="A104:E104"/>
    <mergeCell ref="A105:E105"/>
    <mergeCell ref="A106:E106"/>
    <mergeCell ref="A107:E107"/>
    <mergeCell ref="A108:E108"/>
    <mergeCell ref="A119:E119"/>
    <mergeCell ref="A120:E120"/>
    <mergeCell ref="A93:E93"/>
    <mergeCell ref="A94:E94"/>
    <mergeCell ref="A95:E95"/>
    <mergeCell ref="A96:E96"/>
    <mergeCell ref="A97:E97"/>
    <mergeCell ref="A98:E98"/>
    <mergeCell ref="A99:E99"/>
    <mergeCell ref="A100:E100"/>
    <mergeCell ref="A101:E101"/>
    <mergeCell ref="G76:J76"/>
    <mergeCell ref="G77:J77"/>
    <mergeCell ref="G78:J78"/>
    <mergeCell ref="G79:J79"/>
    <mergeCell ref="A75:E75"/>
    <mergeCell ref="A76:E76"/>
    <mergeCell ref="A90:E90"/>
    <mergeCell ref="A91:E91"/>
    <mergeCell ref="A92:E92"/>
    <mergeCell ref="A82:E82"/>
    <mergeCell ref="A83:E83"/>
    <mergeCell ref="A84:E84"/>
    <mergeCell ref="A85:E85"/>
    <mergeCell ref="A86:E86"/>
    <mergeCell ref="A87:E87"/>
    <mergeCell ref="A88:E88"/>
    <mergeCell ref="A89:E89"/>
    <mergeCell ref="A77:E77"/>
    <mergeCell ref="A78:E78"/>
    <mergeCell ref="A79:E79"/>
    <mergeCell ref="G80:J80"/>
    <mergeCell ref="G81:J81"/>
    <mergeCell ref="A80:E80"/>
    <mergeCell ref="A81:E81"/>
    <mergeCell ref="M54:R54"/>
    <mergeCell ref="M55:R55"/>
    <mergeCell ref="A48:S48"/>
    <mergeCell ref="M75:R75"/>
    <mergeCell ref="G72:J72"/>
    <mergeCell ref="G73:J73"/>
    <mergeCell ref="G74:J74"/>
    <mergeCell ref="G75:J75"/>
    <mergeCell ref="A73:E73"/>
    <mergeCell ref="M74:R74"/>
    <mergeCell ref="G66:J66"/>
    <mergeCell ref="A74:E74"/>
    <mergeCell ref="M57:R57"/>
    <mergeCell ref="A66:E66"/>
    <mergeCell ref="A67:E67"/>
    <mergeCell ref="A68:E68"/>
    <mergeCell ref="A69:E69"/>
    <mergeCell ref="A70:E70"/>
    <mergeCell ref="G65:J65"/>
    <mergeCell ref="G49:J49"/>
    <mergeCell ref="G50:J50"/>
    <mergeCell ref="A56:E56"/>
    <mergeCell ref="A57:E57"/>
    <mergeCell ref="A58:E58"/>
    <mergeCell ref="T3:U3"/>
    <mergeCell ref="Y3:Z3"/>
    <mergeCell ref="W13:Z13"/>
    <mergeCell ref="A55:E55"/>
    <mergeCell ref="A50:E50"/>
    <mergeCell ref="A51:E51"/>
    <mergeCell ref="A52:E52"/>
    <mergeCell ref="A53:E53"/>
    <mergeCell ref="A54:E54"/>
    <mergeCell ref="B6:F6"/>
    <mergeCell ref="A11:G11"/>
    <mergeCell ref="O3:Q3"/>
    <mergeCell ref="N10:O10"/>
    <mergeCell ref="N34:O34"/>
    <mergeCell ref="L32:M32"/>
    <mergeCell ref="N32:O32"/>
    <mergeCell ref="I3:M3"/>
    <mergeCell ref="K4:M4"/>
    <mergeCell ref="K5:M5"/>
    <mergeCell ref="G6:H6"/>
    <mergeCell ref="G10:H10"/>
    <mergeCell ref="P6:P7"/>
    <mergeCell ref="Q6:Q7"/>
    <mergeCell ref="S6:S7"/>
    <mergeCell ref="M76:R76"/>
    <mergeCell ref="M77:R77"/>
    <mergeCell ref="M78:R78"/>
    <mergeCell ref="M79:R79"/>
    <mergeCell ref="M80:R80"/>
    <mergeCell ref="M81:R81"/>
    <mergeCell ref="L49:L81"/>
    <mergeCell ref="M66:R66"/>
    <mergeCell ref="M67:R67"/>
    <mergeCell ref="M68:R68"/>
    <mergeCell ref="M69:R69"/>
    <mergeCell ref="M70:R70"/>
    <mergeCell ref="M71:R71"/>
    <mergeCell ref="M72:R72"/>
    <mergeCell ref="M73:R73"/>
    <mergeCell ref="M49:R49"/>
    <mergeCell ref="M50:R50"/>
    <mergeCell ref="M61:R61"/>
    <mergeCell ref="M62:R62"/>
    <mergeCell ref="M63:R63"/>
    <mergeCell ref="M64:R64"/>
    <mergeCell ref="M51:R51"/>
    <mergeCell ref="M52:R52"/>
    <mergeCell ref="M53:R53"/>
    <mergeCell ref="A49:E49"/>
    <mergeCell ref="G67:J67"/>
    <mergeCell ref="G68:J68"/>
    <mergeCell ref="G69:J69"/>
    <mergeCell ref="G51:J51"/>
    <mergeCell ref="G52:J52"/>
    <mergeCell ref="G53:J53"/>
    <mergeCell ref="G54:J54"/>
    <mergeCell ref="G55:J55"/>
    <mergeCell ref="G56:J56"/>
    <mergeCell ref="G57:J57"/>
    <mergeCell ref="G58:J58"/>
    <mergeCell ref="G59:J59"/>
    <mergeCell ref="A59:E59"/>
    <mergeCell ref="A60:E60"/>
    <mergeCell ref="A61:E61"/>
    <mergeCell ref="A62:E62"/>
    <mergeCell ref="A63:E63"/>
    <mergeCell ref="A64:E64"/>
    <mergeCell ref="G70:J70"/>
    <mergeCell ref="G71:J71"/>
    <mergeCell ref="A71:E71"/>
    <mergeCell ref="A72:E72"/>
    <mergeCell ref="A65:E65"/>
    <mergeCell ref="M65:R65"/>
    <mergeCell ref="M58:R58"/>
    <mergeCell ref="M59:R59"/>
    <mergeCell ref="M60:R60"/>
    <mergeCell ref="G60:J60"/>
    <mergeCell ref="G61:J61"/>
    <mergeCell ref="G62:J62"/>
    <mergeCell ref="G63:J63"/>
    <mergeCell ref="G64:J64"/>
    <mergeCell ref="Q36:S36"/>
    <mergeCell ref="J18:K18"/>
    <mergeCell ref="G32:I32"/>
    <mergeCell ref="A44:S44"/>
    <mergeCell ref="A42:E42"/>
    <mergeCell ref="D39:E40"/>
    <mergeCell ref="M56:R56"/>
    <mergeCell ref="J1:P2"/>
    <mergeCell ref="Q1:S1"/>
    <mergeCell ref="A46:S46"/>
    <mergeCell ref="A12:P12"/>
    <mergeCell ref="A14:E15"/>
    <mergeCell ref="I10:M10"/>
    <mergeCell ref="H13:I13"/>
    <mergeCell ref="R3:S3"/>
    <mergeCell ref="Q4:S4"/>
    <mergeCell ref="H14:I15"/>
    <mergeCell ref="H16:I17"/>
    <mergeCell ref="H18:I19"/>
    <mergeCell ref="L33:M33"/>
    <mergeCell ref="N33:O33"/>
    <mergeCell ref="S8:V8"/>
    <mergeCell ref="L6:O6"/>
    <mergeCell ref="A10:E10"/>
    <mergeCell ref="B4:F4"/>
    <mergeCell ref="A43:S43"/>
    <mergeCell ref="N11:O11"/>
    <mergeCell ref="C3:F3"/>
    <mergeCell ref="I11:M11"/>
    <mergeCell ref="A16:E17"/>
    <mergeCell ref="A18:E19"/>
    <mergeCell ref="J14:K14"/>
    <mergeCell ref="M15:O15"/>
    <mergeCell ref="M17:O17"/>
    <mergeCell ref="M19:O19"/>
    <mergeCell ref="A20:K20"/>
    <mergeCell ref="A22:K22"/>
    <mergeCell ref="F19:G19"/>
    <mergeCell ref="L37:M37"/>
    <mergeCell ref="N37:O37"/>
    <mergeCell ref="L35:M35"/>
    <mergeCell ref="N35:O35"/>
    <mergeCell ref="N25:P25"/>
    <mergeCell ref="J15:K15"/>
    <mergeCell ref="J16:K16"/>
    <mergeCell ref="J17:K17"/>
    <mergeCell ref="R6:R7"/>
    <mergeCell ref="A8:P9"/>
    <mergeCell ref="A36:O36"/>
    <mergeCell ref="A39:C40"/>
    <mergeCell ref="G37:I37"/>
    <mergeCell ref="J13:K13"/>
    <mergeCell ref="J19:K19"/>
    <mergeCell ref="I42:J42"/>
    <mergeCell ref="K41:O41"/>
    <mergeCell ref="L34:M34"/>
    <mergeCell ref="D32:E32"/>
    <mergeCell ref="F15:G15"/>
    <mergeCell ref="K42:O42"/>
    <mergeCell ref="L38:M38"/>
    <mergeCell ref="N38:O38"/>
    <mergeCell ref="H41:J41"/>
    <mergeCell ref="L40:M40"/>
    <mergeCell ref="N40:O40"/>
    <mergeCell ref="L39:M39"/>
    <mergeCell ref="N39:O39"/>
    <mergeCell ref="A38:E38"/>
    <mergeCell ref="A41:E41"/>
    <mergeCell ref="D26:E26"/>
    <mergeCell ref="D37:E37"/>
    <mergeCell ref="A1:I1"/>
    <mergeCell ref="A2:I2"/>
    <mergeCell ref="F17:G17"/>
    <mergeCell ref="M14:N14"/>
    <mergeCell ref="M16:O16"/>
    <mergeCell ref="M18:O18"/>
    <mergeCell ref="A33:E33"/>
    <mergeCell ref="M20:O20"/>
    <mergeCell ref="A13:B13"/>
    <mergeCell ref="B23:S23"/>
    <mergeCell ref="M21:O21"/>
    <mergeCell ref="A21:K21"/>
    <mergeCell ref="C25:E25"/>
    <mergeCell ref="A25:B25"/>
    <mergeCell ref="M22:O22"/>
    <mergeCell ref="L30:M30"/>
    <mergeCell ref="N30:O30"/>
    <mergeCell ref="G28:I28"/>
    <mergeCell ref="D28:E28"/>
    <mergeCell ref="A24:S24"/>
    <mergeCell ref="G4:H4"/>
    <mergeCell ref="B5:F5"/>
    <mergeCell ref="G5:H5"/>
    <mergeCell ref="A7:O7"/>
  </mergeCells>
  <conditionalFormatting sqref="A34:C34 E34:G34 A35:H35">
    <cfRule type="notContainsBlanks" dxfId="123" priority="10">
      <formula>LEN(TRIM(A34))&gt;0</formula>
    </cfRule>
  </conditionalFormatting>
  <conditionalFormatting sqref="A32:F32">
    <cfRule type="notContainsBlanks" dxfId="122" priority="9">
      <formula>LEN(TRIM(A32))&gt;0</formula>
    </cfRule>
  </conditionalFormatting>
  <conditionalFormatting sqref="A37:F37">
    <cfRule type="notContainsBlanks" dxfId="121" priority="8">
      <formula>LEN(TRIM(A37))&gt;0</formula>
    </cfRule>
  </conditionalFormatting>
  <conditionalFormatting sqref="F28:F30">
    <cfRule type="notContainsBlanks" dxfId="120" priority="5">
      <formula>LEN(TRIM(F28))&gt;0</formula>
    </cfRule>
  </conditionalFormatting>
  <conditionalFormatting sqref="F15:G15">
    <cfRule type="notContainsBlanks" dxfId="119" priority="1">
      <formula>LEN(TRIM(F15))&gt;0</formula>
    </cfRule>
  </conditionalFormatting>
  <conditionalFormatting sqref="F17:G17">
    <cfRule type="notContainsBlanks" dxfId="118" priority="2">
      <formula>LEN(TRIM(F17))&gt;0</formula>
    </cfRule>
  </conditionalFormatting>
  <conditionalFormatting sqref="F19:G19">
    <cfRule type="notContainsBlanks" dxfId="117" priority="3">
      <formula>LEN(TRIM(F19))&gt;0</formula>
    </cfRule>
  </conditionalFormatting>
  <conditionalFormatting sqref="F39:G39">
    <cfRule type="notContainsBlanks" dxfId="116" priority="7">
      <formula>LEN(TRIM(F39))&gt;0</formula>
    </cfRule>
  </conditionalFormatting>
  <conditionalFormatting sqref="I30 J35:P35">
    <cfRule type="notContainsBlanks" dxfId="115" priority="12">
      <formula>LEN(TRIM(I30))&gt;0</formula>
    </cfRule>
  </conditionalFormatting>
  <conditionalFormatting sqref="K30:O30">
    <cfRule type="notContainsBlanks" dxfId="114" priority="4">
      <formula>LEN(TRIM(K30))&gt;0</formula>
    </cfRule>
  </conditionalFormatting>
  <conditionalFormatting sqref="M21:O22">
    <cfRule type="notContainsBlanks" dxfId="113" priority="16">
      <formula>LEN(TRIM(M21))&gt;0</formula>
    </cfRule>
  </conditionalFormatting>
  <conditionalFormatting sqref="O4 P5">
    <cfRule type="timePeriod" dxfId="112" priority="25" stopIfTrue="1" timePeriod="today">
      <formula>FLOOR(O4,1)=TODAY()</formula>
    </cfRule>
  </conditionalFormatting>
  <conditionalFormatting sqref="P14:P20">
    <cfRule type="notContainsBlanks" dxfId="111" priority="15">
      <formula>LEN(TRIM(P14))&gt;0</formula>
    </cfRule>
  </conditionalFormatting>
  <dataValidations count="1">
    <dataValidation type="list" allowBlank="1" showInputMessage="1" showErrorMessage="1" sqref="A11" xr:uid="{00000000-0002-0000-0300-000001000000}">
      <formula1>"Beendigung der Betreuung,Übergabe an ehrenamtlichen Betreuer,Übergabe an Berufsbetreuer,Übernahme von ehrenamtlichen Betreuer,Übernahme von Berufsbetreuer"</formula1>
    </dataValidation>
  </dataValidations>
  <pageMargins left="0.5" right="0.5" top="0.75" bottom="0.75" header="0.27777800000000002" footer="0.27777800000000002"/>
  <pageSetup scale="72"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pageSetUpPr fitToPage="1"/>
  </sheetPr>
  <dimension ref="A1:G43"/>
  <sheetViews>
    <sheetView showGridLines="0" workbookViewId="0">
      <selection sqref="A1:C1"/>
    </sheetView>
  </sheetViews>
  <sheetFormatPr baseColWidth="10" defaultColWidth="16.33203125" defaultRowHeight="20" customHeight="1"/>
  <cols>
    <col min="1" max="1" width="27.33203125" style="4" customWidth="1"/>
    <col min="2" max="2" width="27.83203125" style="4" customWidth="1"/>
    <col min="3" max="3" width="28.5" style="4" customWidth="1"/>
    <col min="4" max="4" width="25.83203125" style="4" customWidth="1"/>
    <col min="5" max="5" width="26.5" style="4" customWidth="1"/>
    <col min="6" max="6" width="25" style="4" customWidth="1"/>
    <col min="7" max="7" width="9.6640625" style="4" customWidth="1"/>
    <col min="8" max="8" width="16.33203125" style="4" customWidth="1"/>
    <col min="9" max="16384" width="16.33203125" style="4"/>
  </cols>
  <sheetData>
    <row r="1" spans="1:7" ht="19" customHeight="1">
      <c r="A1" s="1232" t="s">
        <v>34</v>
      </c>
      <c r="B1" s="1233"/>
      <c r="C1" s="1233"/>
      <c r="D1" s="2"/>
      <c r="E1" s="2"/>
      <c r="F1" s="2"/>
      <c r="G1" s="3"/>
    </row>
    <row r="2" spans="1:7" ht="19.25" customHeight="1">
      <c r="A2" s="5" t="s">
        <v>35</v>
      </c>
      <c r="B2" s="6" t="s">
        <v>36</v>
      </c>
      <c r="C2" s="6" t="s">
        <v>37</v>
      </c>
      <c r="D2" s="6" t="s">
        <v>38</v>
      </c>
      <c r="E2" s="6" t="s">
        <v>39</v>
      </c>
      <c r="F2" s="6" t="s">
        <v>40</v>
      </c>
      <c r="G2" s="1252"/>
    </row>
    <row r="3" spans="1:7" ht="19.25" customHeight="1">
      <c r="A3" s="7" t="s">
        <v>41</v>
      </c>
      <c r="B3" s="8">
        <v>194</v>
      </c>
      <c r="C3" s="8">
        <v>129</v>
      </c>
      <c r="D3" s="8">
        <v>124</v>
      </c>
      <c r="E3" s="8">
        <v>87</v>
      </c>
      <c r="F3" s="8">
        <v>62</v>
      </c>
      <c r="G3" s="1253"/>
    </row>
    <row r="4" spans="1:7" ht="19.25" customHeight="1">
      <c r="A4" s="7" t="s">
        <v>42</v>
      </c>
      <c r="B4" s="8">
        <v>208</v>
      </c>
      <c r="C4" s="8">
        <v>170</v>
      </c>
      <c r="D4" s="8">
        <v>151</v>
      </c>
      <c r="E4" s="8">
        <v>122</v>
      </c>
      <c r="F4" s="8">
        <v>105</v>
      </c>
      <c r="G4" s="1253"/>
    </row>
    <row r="5" spans="1:7" ht="8.25" customHeight="1">
      <c r="A5" s="1234"/>
      <c r="B5" s="1233"/>
      <c r="C5" s="1233"/>
      <c r="D5" s="1233"/>
      <c r="E5" s="1233"/>
      <c r="F5" s="1233"/>
      <c r="G5" s="1253"/>
    </row>
    <row r="6" spans="1:7" ht="19.25" customHeight="1">
      <c r="A6" s="9" t="s">
        <v>43</v>
      </c>
      <c r="B6" s="10" t="s">
        <v>36</v>
      </c>
      <c r="C6" s="10" t="s">
        <v>37</v>
      </c>
      <c r="D6" s="10" t="s">
        <v>38</v>
      </c>
      <c r="E6" s="10" t="s">
        <v>39</v>
      </c>
      <c r="F6" s="10" t="s">
        <v>40</v>
      </c>
      <c r="G6" s="1253"/>
    </row>
    <row r="7" spans="1:7" ht="19.25" customHeight="1">
      <c r="A7" s="7" t="s">
        <v>41</v>
      </c>
      <c r="B7" s="8">
        <v>200</v>
      </c>
      <c r="C7" s="8">
        <v>158</v>
      </c>
      <c r="D7" s="8">
        <v>140</v>
      </c>
      <c r="E7" s="8">
        <v>91</v>
      </c>
      <c r="F7" s="8">
        <v>78</v>
      </c>
      <c r="G7" s="1253"/>
    </row>
    <row r="8" spans="1:7" ht="19.25" customHeight="1">
      <c r="A8" s="7" t="s">
        <v>42</v>
      </c>
      <c r="B8" s="8">
        <v>298</v>
      </c>
      <c r="C8" s="8">
        <v>208</v>
      </c>
      <c r="D8" s="8">
        <v>192</v>
      </c>
      <c r="E8" s="8">
        <v>158</v>
      </c>
      <c r="F8" s="8">
        <v>130</v>
      </c>
      <c r="G8" s="1253"/>
    </row>
    <row r="9" spans="1:7" ht="19.25" customHeight="1">
      <c r="A9" s="1232" t="s">
        <v>44</v>
      </c>
      <c r="B9" s="1233"/>
      <c r="C9" s="1233"/>
      <c r="D9" s="2"/>
      <c r="E9" s="2"/>
      <c r="F9" s="2"/>
      <c r="G9" s="1253"/>
    </row>
    <row r="10" spans="1:7" ht="19.25" customHeight="1">
      <c r="A10" s="11" t="s">
        <v>35</v>
      </c>
      <c r="B10" s="12" t="s">
        <v>36</v>
      </c>
      <c r="C10" s="12" t="s">
        <v>37</v>
      </c>
      <c r="D10" s="12" t="s">
        <v>38</v>
      </c>
      <c r="E10" s="12" t="s">
        <v>39</v>
      </c>
      <c r="F10" s="12" t="s">
        <v>40</v>
      </c>
      <c r="G10" s="1253"/>
    </row>
    <row r="11" spans="1:7" ht="19.25" customHeight="1">
      <c r="A11" s="13" t="s">
        <v>41</v>
      </c>
      <c r="B11" s="14">
        <v>241</v>
      </c>
      <c r="C11" s="14">
        <v>158</v>
      </c>
      <c r="D11" s="14">
        <v>154</v>
      </c>
      <c r="E11" s="14">
        <v>107</v>
      </c>
      <c r="F11" s="14">
        <v>78</v>
      </c>
      <c r="G11" s="1253"/>
    </row>
    <row r="12" spans="1:7" ht="19.25" customHeight="1">
      <c r="A12" s="13" t="s">
        <v>42</v>
      </c>
      <c r="B12" s="14">
        <v>258</v>
      </c>
      <c r="C12" s="14">
        <v>211</v>
      </c>
      <c r="D12" s="14">
        <v>188</v>
      </c>
      <c r="E12" s="14">
        <v>151</v>
      </c>
      <c r="F12" s="14">
        <v>130</v>
      </c>
      <c r="G12" s="1253"/>
    </row>
    <row r="13" spans="1:7" ht="8.25" customHeight="1">
      <c r="A13" s="1234"/>
      <c r="B13" s="1233"/>
      <c r="C13" s="1233"/>
      <c r="D13" s="1233"/>
      <c r="E13" s="1233"/>
      <c r="F13" s="1233"/>
      <c r="G13" s="1253"/>
    </row>
    <row r="14" spans="1:7" ht="19.25" customHeight="1">
      <c r="A14" s="15" t="s">
        <v>43</v>
      </c>
      <c r="B14" s="16" t="s">
        <v>36</v>
      </c>
      <c r="C14" s="16" t="s">
        <v>37</v>
      </c>
      <c r="D14" s="16" t="s">
        <v>38</v>
      </c>
      <c r="E14" s="16" t="s">
        <v>39</v>
      </c>
      <c r="F14" s="16" t="s">
        <v>40</v>
      </c>
      <c r="G14" s="1253"/>
    </row>
    <row r="15" spans="1:7" ht="19.25" customHeight="1">
      <c r="A15" s="13" t="s">
        <v>41</v>
      </c>
      <c r="B15" s="14">
        <v>249</v>
      </c>
      <c r="C15" s="14">
        <v>196</v>
      </c>
      <c r="D15" s="14">
        <v>174</v>
      </c>
      <c r="E15" s="14">
        <v>113</v>
      </c>
      <c r="F15" s="14">
        <v>96</v>
      </c>
      <c r="G15" s="1253"/>
    </row>
    <row r="16" spans="1:7" ht="19.25" customHeight="1">
      <c r="A16" s="13" t="s">
        <v>42</v>
      </c>
      <c r="B16" s="14">
        <v>370</v>
      </c>
      <c r="C16" s="14">
        <v>258</v>
      </c>
      <c r="D16" s="14">
        <v>238</v>
      </c>
      <c r="E16" s="14">
        <v>196</v>
      </c>
      <c r="F16" s="14">
        <v>161</v>
      </c>
      <c r="G16" s="1253"/>
    </row>
    <row r="17" spans="1:7" ht="19.25" customHeight="1">
      <c r="A17" s="1232" t="s">
        <v>45</v>
      </c>
      <c r="B17" s="1233"/>
      <c r="C17" s="1233"/>
      <c r="D17" s="2"/>
      <c r="E17" s="2"/>
      <c r="F17" s="2"/>
      <c r="G17" s="1253"/>
    </row>
    <row r="18" spans="1:7" ht="19.25" customHeight="1">
      <c r="A18" s="17" t="s">
        <v>35</v>
      </c>
      <c r="B18" s="18" t="s">
        <v>36</v>
      </c>
      <c r="C18" s="18" t="s">
        <v>37</v>
      </c>
      <c r="D18" s="18" t="s">
        <v>38</v>
      </c>
      <c r="E18" s="18" t="s">
        <v>39</v>
      </c>
      <c r="F18" s="18" t="s">
        <v>40</v>
      </c>
      <c r="G18" s="1253"/>
    </row>
    <row r="19" spans="1:7" ht="19.25" customHeight="1">
      <c r="A19" s="19" t="s">
        <v>41</v>
      </c>
      <c r="B19" s="20">
        <v>317</v>
      </c>
      <c r="C19" s="20">
        <v>208</v>
      </c>
      <c r="D19" s="20">
        <v>202</v>
      </c>
      <c r="E19" s="20">
        <v>141</v>
      </c>
      <c r="F19" s="20">
        <v>102</v>
      </c>
      <c r="G19" s="1253"/>
    </row>
    <row r="20" spans="1:7" ht="19.25" customHeight="1">
      <c r="A20" s="19" t="s">
        <v>42</v>
      </c>
      <c r="B20" s="20">
        <v>339</v>
      </c>
      <c r="C20" s="20">
        <v>277</v>
      </c>
      <c r="D20" s="20">
        <v>246</v>
      </c>
      <c r="E20" s="20">
        <v>198</v>
      </c>
      <c r="F20" s="20">
        <v>171</v>
      </c>
      <c r="G20" s="1253"/>
    </row>
    <row r="21" spans="1:7" ht="8.25" customHeight="1">
      <c r="A21" s="1233"/>
      <c r="B21" s="1233"/>
      <c r="C21" s="1233"/>
      <c r="D21" s="1233"/>
      <c r="E21" s="1233"/>
      <c r="F21" s="1233"/>
      <c r="G21" s="1253"/>
    </row>
    <row r="22" spans="1:7" ht="19.25" customHeight="1">
      <c r="A22" s="17" t="s">
        <v>43</v>
      </c>
      <c r="B22" s="18" t="s">
        <v>36</v>
      </c>
      <c r="C22" s="18" t="s">
        <v>37</v>
      </c>
      <c r="D22" s="18" t="s">
        <v>38</v>
      </c>
      <c r="E22" s="18" t="s">
        <v>39</v>
      </c>
      <c r="F22" s="18" t="s">
        <v>40</v>
      </c>
      <c r="G22" s="1253"/>
    </row>
    <row r="23" spans="1:7" ht="19.25" customHeight="1">
      <c r="A23" s="19" t="s">
        <v>41</v>
      </c>
      <c r="B23" s="20">
        <v>327</v>
      </c>
      <c r="C23" s="20">
        <v>257</v>
      </c>
      <c r="D23" s="20">
        <v>229</v>
      </c>
      <c r="E23" s="20">
        <v>149</v>
      </c>
      <c r="F23" s="20">
        <v>127</v>
      </c>
      <c r="G23" s="1253"/>
    </row>
    <row r="24" spans="1:7" ht="19.25" customHeight="1">
      <c r="A24" s="19" t="s">
        <v>42</v>
      </c>
      <c r="B24" s="20">
        <v>486</v>
      </c>
      <c r="C24" s="20">
        <v>339</v>
      </c>
      <c r="D24" s="20">
        <v>312</v>
      </c>
      <c r="E24" s="20">
        <v>257</v>
      </c>
      <c r="F24" s="20">
        <v>211</v>
      </c>
      <c r="G24" s="1253"/>
    </row>
    <row r="25" spans="1:7" ht="20.25" customHeight="1">
      <c r="A25" s="21"/>
      <c r="B25" s="21"/>
      <c r="C25" s="21"/>
      <c r="D25" s="21"/>
      <c r="E25" s="21"/>
      <c r="F25" s="21"/>
      <c r="G25" s="1254"/>
    </row>
    <row r="26" spans="1:7" ht="23" customHeight="1">
      <c r="A26" s="1236"/>
      <c r="B26" s="1225"/>
      <c r="C26" s="1225"/>
      <c r="D26" s="1225"/>
      <c r="E26" s="1225"/>
      <c r="F26" s="1225"/>
      <c r="G26" s="1225"/>
    </row>
    <row r="27" spans="1:7" ht="26" customHeight="1">
      <c r="A27" s="1250" t="s">
        <v>84</v>
      </c>
      <c r="B27" s="1251"/>
      <c r="C27" s="1251"/>
      <c r="D27" s="1251"/>
      <c r="E27" s="1251"/>
      <c r="F27" s="29"/>
      <c r="G27" s="24"/>
    </row>
    <row r="28" spans="1:7" ht="30" customHeight="1">
      <c r="A28" s="1239" t="s">
        <v>46</v>
      </c>
      <c r="B28" s="1240"/>
      <c r="C28" s="33">
        <v>30</v>
      </c>
      <c r="D28" s="34" t="s">
        <v>47</v>
      </c>
      <c r="E28" s="1242" t="s">
        <v>87</v>
      </c>
      <c r="F28" s="1243"/>
      <c r="G28" s="1244"/>
    </row>
    <row r="29" spans="1:7" ht="30" customHeight="1">
      <c r="A29" s="1224" t="s">
        <v>48</v>
      </c>
      <c r="B29" s="1225"/>
      <c r="C29" s="23">
        <v>30</v>
      </c>
      <c r="D29" s="22" t="s">
        <v>47</v>
      </c>
      <c r="E29" s="1245"/>
      <c r="F29" s="1246"/>
      <c r="G29" s="1247"/>
    </row>
    <row r="30" spans="1:7" ht="20" customHeight="1">
      <c r="A30" s="1226" t="s">
        <v>49</v>
      </c>
      <c r="B30" s="1227"/>
      <c r="C30" s="30">
        <v>30</v>
      </c>
      <c r="D30" s="35" t="s">
        <v>47</v>
      </c>
      <c r="E30" s="1245"/>
      <c r="F30" s="1248"/>
      <c r="G30" s="1249"/>
    </row>
    <row r="31" spans="1:7" ht="32" customHeight="1">
      <c r="A31" s="1241" t="s">
        <v>50</v>
      </c>
      <c r="B31" s="1231"/>
      <c r="C31" s="31" t="s">
        <v>51</v>
      </c>
      <c r="D31" s="1230" t="s">
        <v>52</v>
      </c>
      <c r="E31" s="1231"/>
      <c r="F31" s="25"/>
      <c r="G31" s="26"/>
    </row>
    <row r="32" spans="1:7" ht="32" customHeight="1">
      <c r="A32" s="1228" t="s">
        <v>85</v>
      </c>
      <c r="B32" s="1229"/>
      <c r="C32" s="32">
        <v>200</v>
      </c>
      <c r="D32" s="1255" t="s">
        <v>53</v>
      </c>
      <c r="E32" s="1256"/>
      <c r="F32" s="27"/>
      <c r="G32" s="28"/>
    </row>
    <row r="33" spans="1:7" ht="20" customHeight="1">
      <c r="A33" s="1259" t="s">
        <v>54</v>
      </c>
      <c r="B33" s="1260"/>
      <c r="C33" s="1260"/>
      <c r="D33" s="1260"/>
      <c r="E33" s="1260"/>
      <c r="F33" s="1261"/>
      <c r="G33" s="1261"/>
    </row>
    <row r="34" spans="1:7" ht="38" customHeight="1">
      <c r="A34" s="1257" t="s">
        <v>55</v>
      </c>
      <c r="B34" s="1258"/>
      <c r="C34" s="1258"/>
      <c r="D34" s="1258"/>
      <c r="E34" s="1257" t="s">
        <v>56</v>
      </c>
      <c r="F34" s="1258"/>
      <c r="G34" s="1258"/>
    </row>
    <row r="35" spans="1:7" ht="83" customHeight="1">
      <c r="A35" s="1238" t="s">
        <v>57</v>
      </c>
      <c r="B35" s="1238"/>
      <c r="C35" s="1238"/>
      <c r="D35" s="1238"/>
      <c r="E35" s="1238"/>
      <c r="F35" s="1238"/>
      <c r="G35" s="1238"/>
    </row>
    <row r="36" spans="1:7" ht="21" customHeight="1">
      <c r="A36" s="1236"/>
      <c r="B36" s="1225"/>
      <c r="C36" s="1225"/>
      <c r="D36" s="1225"/>
      <c r="E36" s="1225"/>
      <c r="F36" s="1225"/>
      <c r="G36" s="1225"/>
    </row>
    <row r="37" spans="1:7" ht="107" customHeight="1">
      <c r="A37" s="1235" t="s">
        <v>86</v>
      </c>
      <c r="B37" s="1235"/>
      <c r="C37" s="1235"/>
      <c r="D37" s="1235"/>
      <c r="E37" s="1235"/>
      <c r="F37" s="1235"/>
      <c r="G37" s="1235"/>
    </row>
    <row r="38" spans="1:7" ht="19" customHeight="1">
      <c r="A38" s="1236"/>
      <c r="B38" s="1225"/>
      <c r="C38" s="1225"/>
      <c r="D38" s="1225"/>
      <c r="E38" s="1225"/>
      <c r="F38" s="1225"/>
      <c r="G38" s="1225"/>
    </row>
    <row r="39" spans="1:7" ht="103" hidden="1" customHeight="1"/>
    <row r="40" spans="1:7" ht="16" customHeight="1">
      <c r="A40" s="36"/>
      <c r="B40" s="36"/>
      <c r="C40" s="36"/>
      <c r="D40" s="36"/>
      <c r="E40" s="36"/>
      <c r="F40" s="36"/>
      <c r="G40" s="36"/>
    </row>
    <row r="41" spans="1:7" ht="65.25" customHeight="1">
      <c r="A41" s="1237"/>
      <c r="B41" s="1225"/>
      <c r="C41" s="1225"/>
      <c r="D41" s="1225"/>
      <c r="E41" s="1225"/>
      <c r="F41" s="1225"/>
      <c r="G41" s="1225"/>
    </row>
    <row r="42" spans="1:7" ht="65.25" customHeight="1">
      <c r="A42" s="1225"/>
      <c r="B42" s="1225"/>
      <c r="C42" s="1225"/>
      <c r="D42" s="1225"/>
      <c r="E42" s="1225"/>
      <c r="F42" s="1225"/>
      <c r="G42" s="1225"/>
    </row>
    <row r="43" spans="1:7" ht="113" customHeight="1">
      <c r="A43" s="1225"/>
      <c r="B43" s="1225"/>
      <c r="C43" s="1225"/>
      <c r="D43" s="1225"/>
      <c r="E43" s="1225"/>
      <c r="F43" s="1225"/>
      <c r="G43" s="1225"/>
    </row>
  </sheetData>
  <sheetProtection algorithmName="SHA-512" hashValue="xg3UvDwGCuDBB6d+bnS/RHc29rK+xwWrR4U0ViskEUuSywGIfaqy2rFLtN29RvTKq5YIqPBj3U6IziS0jyk7mQ==" saltValue="QRWXDW9nXrc7mDGWh9udFQ==" spinCount="100000" sheet="1" objects="1" scenarios="1"/>
  <mergeCells count="25">
    <mergeCell ref="A37:G37"/>
    <mergeCell ref="A36:G36"/>
    <mergeCell ref="A38:G38"/>
    <mergeCell ref="A41:G43"/>
    <mergeCell ref="A13:F13"/>
    <mergeCell ref="A35:G35"/>
    <mergeCell ref="A28:B28"/>
    <mergeCell ref="A31:B31"/>
    <mergeCell ref="E28:G30"/>
    <mergeCell ref="A27:E27"/>
    <mergeCell ref="G2:G25"/>
    <mergeCell ref="D32:E32"/>
    <mergeCell ref="A34:D34"/>
    <mergeCell ref="E34:G34"/>
    <mergeCell ref="A26:G26"/>
    <mergeCell ref="A33:G33"/>
    <mergeCell ref="A29:B29"/>
    <mergeCell ref="A30:B30"/>
    <mergeCell ref="A32:B32"/>
    <mergeCell ref="D31:E31"/>
    <mergeCell ref="A1:C1"/>
    <mergeCell ref="A9:C9"/>
    <mergeCell ref="A17:C17"/>
    <mergeCell ref="A21:F21"/>
    <mergeCell ref="A5:F5"/>
  </mergeCells>
  <pageMargins left="1" right="1" top="1" bottom="1" header="0.25" footer="0.25"/>
  <pageSetup scale="41" orientation="portrait"/>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CI1341"/>
  <sheetViews>
    <sheetView showGridLines="0" workbookViewId="0">
      <pane xSplit="3" ySplit="8" topLeftCell="D9" activePane="bottomRight" state="frozen"/>
      <selection pane="topRight"/>
      <selection pane="bottomLeft"/>
      <selection pane="bottomRight" activeCell="L13" sqref="L13"/>
    </sheetView>
  </sheetViews>
  <sheetFormatPr baseColWidth="10" defaultColWidth="16.33203125" defaultRowHeight="20" customHeight="1"/>
  <cols>
    <col min="1" max="1" width="1.33203125" style="1" customWidth="1"/>
    <col min="2" max="2" width="9.83203125" style="1" customWidth="1"/>
    <col min="3" max="3" width="18.33203125" style="1" customWidth="1"/>
    <col min="4" max="4" width="18.1640625" style="1" customWidth="1"/>
    <col min="5" max="5" width="20.1640625" style="1" customWidth="1"/>
    <col min="6" max="6" width="5.5" style="1" customWidth="1"/>
    <col min="7" max="7" width="6.5" style="1" customWidth="1"/>
    <col min="8" max="8" width="5.6640625" style="1" customWidth="1"/>
    <col min="9" max="9" width="16" style="1" customWidth="1"/>
    <col min="10" max="10" width="0.1640625" style="113" hidden="1" customWidth="1"/>
    <col min="11" max="11" width="0.1640625" style="515" hidden="1" customWidth="1"/>
    <col min="12" max="12" width="10.5" style="113" customWidth="1"/>
    <col min="13" max="13" width="16.6640625" style="113" customWidth="1"/>
    <col min="14" max="17" width="18" style="1" customWidth="1"/>
    <col min="18" max="18" width="4.6640625" style="1" customWidth="1"/>
    <col min="19" max="19" width="16.1640625" style="1" customWidth="1"/>
    <col min="20" max="20" width="16.33203125" style="1" customWidth="1"/>
    <col min="21" max="21" width="15.33203125" style="1" customWidth="1"/>
    <col min="22" max="22" width="1.83203125" style="1" customWidth="1"/>
    <col min="23" max="23" width="16.1640625" style="1" customWidth="1"/>
    <col min="24" max="24" width="16.33203125" style="1" customWidth="1"/>
    <col min="25" max="25" width="15.33203125" style="1" customWidth="1"/>
    <col min="26" max="26" width="1.33203125" style="1" customWidth="1"/>
    <col min="27" max="27" width="16.1640625" style="1" customWidth="1"/>
    <col min="28" max="28" width="16.33203125" style="1" customWidth="1"/>
    <col min="29" max="29" width="15.33203125" style="1" customWidth="1"/>
    <col min="30" max="30" width="1.33203125" style="1" customWidth="1"/>
    <col min="31" max="31" width="16.1640625" style="1" customWidth="1"/>
    <col min="32" max="32" width="16.33203125" style="1" customWidth="1"/>
    <col min="33" max="33" width="15.33203125" style="1" customWidth="1"/>
    <col min="34" max="34" width="5.1640625" style="1" customWidth="1"/>
    <col min="35" max="35" width="16.1640625" style="1" customWidth="1"/>
    <col min="36" max="36" width="16.33203125" style="1"/>
    <col min="37" max="37" width="15.33203125" style="335" customWidth="1"/>
    <col min="38" max="38" width="4" style="335" customWidth="1"/>
    <col min="39" max="39" width="0.1640625" style="356" hidden="1" customWidth="1"/>
    <col min="40" max="40" width="0.6640625" style="356" hidden="1" customWidth="1"/>
    <col min="41" max="42" width="0.1640625" style="356" hidden="1" customWidth="1"/>
    <col min="43" max="43" width="11" style="357" customWidth="1"/>
    <col min="44" max="44" width="11" style="766" customWidth="1"/>
    <col min="45" max="45" width="21" style="766" customWidth="1"/>
    <col min="46" max="46" width="11.33203125" style="766" customWidth="1"/>
    <col min="47" max="47" width="16.33203125" style="1"/>
    <col min="48" max="48" width="16.1640625" style="1" customWidth="1"/>
    <col min="49" max="49" width="4.1640625" style="1" customWidth="1"/>
    <col min="50" max="50" width="28.33203125" style="1" customWidth="1"/>
    <col min="51" max="51" width="26.33203125" style="776" customWidth="1"/>
    <col min="52" max="52" width="10.6640625" style="1" customWidth="1"/>
    <col min="53" max="54" width="10.33203125" style="1" customWidth="1"/>
    <col min="55" max="55" width="10" style="1" customWidth="1"/>
    <col min="56" max="56" width="9.5" style="1" customWidth="1"/>
    <col min="57" max="57" width="4.33203125" style="1" customWidth="1"/>
    <col min="58" max="58" width="27.5" style="1" customWidth="1"/>
    <col min="59" max="59" width="26.1640625" style="776" customWidth="1"/>
    <col min="60" max="63" width="10.33203125" style="1" customWidth="1"/>
    <col min="64" max="64" width="9.1640625" style="335" customWidth="1"/>
    <col min="65" max="65" width="5.1640625" style="333" customWidth="1"/>
    <col min="66" max="66" width="29.6640625" style="335" customWidth="1"/>
    <col min="67" max="67" width="26.33203125" style="335" customWidth="1"/>
    <col min="68" max="71" width="10.5" style="1" customWidth="1"/>
    <col min="72" max="83" width="5.33203125" style="1" customWidth="1"/>
    <col min="84" max="16384" width="16.33203125" style="1"/>
  </cols>
  <sheetData>
    <row r="1" spans="1:87" ht="28.75" customHeight="1">
      <c r="A1" s="480" t="s">
        <v>58</v>
      </c>
      <c r="B1" s="480"/>
      <c r="C1" s="480"/>
      <c r="D1" s="480"/>
      <c r="E1" s="480"/>
      <c r="F1" s="480"/>
      <c r="G1" s="480"/>
      <c r="H1" s="480"/>
      <c r="I1" s="480"/>
      <c r="J1" s="480"/>
      <c r="K1" s="480"/>
      <c r="L1" s="480"/>
      <c r="M1" s="480"/>
      <c r="N1" s="480"/>
      <c r="O1" s="480"/>
      <c r="P1" s="480"/>
      <c r="Q1" s="480"/>
      <c r="R1" s="480"/>
      <c r="S1" s="480"/>
      <c r="T1" s="480"/>
      <c r="U1" s="480"/>
      <c r="V1" s="480"/>
      <c r="W1" s="480"/>
      <c r="X1" s="480"/>
      <c r="Y1" s="480"/>
      <c r="Z1" s="480"/>
      <c r="AA1" s="480"/>
      <c r="AB1" s="480"/>
      <c r="AC1" s="480"/>
      <c r="AD1" s="480"/>
      <c r="AE1" s="480"/>
      <c r="AF1" s="480"/>
      <c r="AG1" s="480"/>
      <c r="AH1" s="480"/>
      <c r="BM1" s="335"/>
    </row>
    <row r="2" spans="1:87" ht="41" customHeight="1">
      <c r="A2" s="1265" t="s">
        <v>222</v>
      </c>
      <c r="B2" s="1265"/>
      <c r="C2" s="497">
        <f ca="1">TODAY()</f>
        <v>45475</v>
      </c>
      <c r="D2" s="163" t="s">
        <v>59</v>
      </c>
      <c r="E2" s="163" t="s">
        <v>60</v>
      </c>
      <c r="F2" s="1271" t="s">
        <v>61</v>
      </c>
      <c r="G2" s="1272"/>
      <c r="H2" s="1273"/>
      <c r="I2" s="299" t="s">
        <v>62</v>
      </c>
      <c r="J2" s="466" t="str">
        <f ca="1">IFERROR(VLOOKUP(B3,'Aktuelle Einnahmen'!A2:AF104,30,0),"")</f>
        <v/>
      </c>
      <c r="K2" s="466"/>
      <c r="L2" s="466"/>
      <c r="M2" s="465" t="str">
        <f>'Aktuelle Einnahmen'!Z2</f>
        <v>Stufe C</v>
      </c>
      <c r="N2" s="300" t="s">
        <v>63</v>
      </c>
      <c r="O2" s="164" t="s">
        <v>64</v>
      </c>
      <c r="P2" s="165" t="s">
        <v>65</v>
      </c>
      <c r="Q2" s="166" t="s">
        <v>66</v>
      </c>
      <c r="R2" s="48"/>
      <c r="S2" s="1271" t="s">
        <v>129</v>
      </c>
      <c r="T2" s="1272"/>
      <c r="U2" s="1273"/>
      <c r="V2" s="167"/>
      <c r="W2" s="1271" t="s">
        <v>130</v>
      </c>
      <c r="X2" s="1272"/>
      <c r="Y2" s="1273"/>
      <c r="Z2" s="167"/>
      <c r="AA2" s="1271" t="s">
        <v>131</v>
      </c>
      <c r="AB2" s="1272"/>
      <c r="AC2" s="1273"/>
      <c r="AD2" s="167"/>
      <c r="AE2" s="1271" t="s">
        <v>132</v>
      </c>
      <c r="AF2" s="1272"/>
      <c r="AG2" s="1273"/>
      <c r="AH2" s="48"/>
      <c r="AI2" s="1266" t="str">
        <f>IF(C6&lt;&gt;"", (C6+1) &amp; " !! Zahlungseingänge nach dem Jahreswechsel hier eintragen: ", "")</f>
        <v xml:space="preserve">2025 !! Zahlungseingänge nach dem Jahreswechsel hier eintragen: </v>
      </c>
      <c r="AJ2" s="1266"/>
      <c r="AK2" s="1267"/>
      <c r="AL2" s="346"/>
      <c r="AM2" s="352"/>
      <c r="AN2" s="352"/>
      <c r="AO2" s="352"/>
      <c r="AP2" s="352"/>
      <c r="AQ2" s="355"/>
      <c r="AR2" s="767"/>
      <c r="AS2" s="767"/>
      <c r="AT2" s="767"/>
      <c r="BM2" s="335"/>
    </row>
    <row r="3" spans="1:87" ht="28.5" customHeight="1">
      <c r="A3" s="498"/>
      <c r="B3" s="499">
        <f ca="1">TODAY()</f>
        <v>45475</v>
      </c>
      <c r="C3" s="714" t="s">
        <v>67</v>
      </c>
      <c r="D3" s="169">
        <f>U3</f>
        <v>0</v>
      </c>
      <c r="E3" s="169">
        <f>Y3</f>
        <v>0</v>
      </c>
      <c r="F3" s="1274">
        <f>AC3</f>
        <v>0</v>
      </c>
      <c r="G3" s="1275"/>
      <c r="H3" s="1276"/>
      <c r="I3" s="716">
        <f>AG3</f>
        <v>0</v>
      </c>
      <c r="J3" s="301"/>
      <c r="K3" s="466"/>
      <c r="L3" s="500"/>
      <c r="M3" s="500"/>
      <c r="N3" s="517"/>
      <c r="O3" s="481"/>
      <c r="P3" s="482"/>
      <c r="Q3" s="483"/>
      <c r="R3" s="48"/>
      <c r="S3" s="1286" t="s">
        <v>133</v>
      </c>
      <c r="T3" s="1287"/>
      <c r="U3" s="169">
        <f>SUM(S10:S998)</f>
        <v>0</v>
      </c>
      <c r="V3" s="167"/>
      <c r="W3" s="1286" t="s">
        <v>133</v>
      </c>
      <c r="X3" s="1287"/>
      <c r="Y3" s="169">
        <f>SUM(W10:W998)</f>
        <v>0</v>
      </c>
      <c r="Z3" s="167"/>
      <c r="AA3" s="1286" t="s">
        <v>133</v>
      </c>
      <c r="AB3" s="1287"/>
      <c r="AC3" s="169">
        <f>SUM(AA10:AA998)</f>
        <v>0</v>
      </c>
      <c r="AD3" s="167"/>
      <c r="AE3" s="1286" t="s">
        <v>133</v>
      </c>
      <c r="AF3" s="1287"/>
      <c r="AG3" s="169">
        <f>SUM(AE10:AE998)</f>
        <v>0</v>
      </c>
      <c r="AH3" s="48"/>
      <c r="AI3" s="1292" t="s">
        <v>68</v>
      </c>
      <c r="AJ3" s="1293"/>
      <c r="AK3" s="169">
        <f>SUM(AI10:AI998)</f>
        <v>0</v>
      </c>
      <c r="AL3" s="346"/>
      <c r="AM3" s="352"/>
      <c r="AN3" s="352"/>
      <c r="AO3" s="352"/>
      <c r="AP3" s="352"/>
      <c r="AQ3" s="355"/>
      <c r="AR3" s="767"/>
      <c r="AS3" s="767"/>
      <c r="AT3" s="767"/>
      <c r="BM3" s="335"/>
    </row>
    <row r="4" spans="1:87" ht="23" customHeight="1">
      <c r="A4" s="168"/>
      <c r="B4" s="293">
        <f>U5+Y5+AC5+AG5</f>
        <v>0</v>
      </c>
      <c r="C4" s="715" t="s">
        <v>69</v>
      </c>
      <c r="D4" s="717">
        <f>SUM(N10:N998)</f>
        <v>0</v>
      </c>
      <c r="E4" s="717">
        <f>SUM(O10:O998)</f>
        <v>0</v>
      </c>
      <c r="F4" s="1277">
        <f>SUM(P10:P998)</f>
        <v>0</v>
      </c>
      <c r="G4" s="1278"/>
      <c r="H4" s="1279"/>
      <c r="I4" s="718">
        <f>SUM(Q10:Q998)</f>
        <v>0</v>
      </c>
      <c r="J4" s="301"/>
      <c r="K4" s="466"/>
      <c r="L4" s="500"/>
      <c r="M4" s="500"/>
      <c r="N4" s="1294" t="s">
        <v>69</v>
      </c>
      <c r="O4" s="1294"/>
      <c r="P4" s="1294"/>
      <c r="Q4" s="1295"/>
      <c r="R4" s="267"/>
      <c r="S4" s="170"/>
      <c r="T4" s="170"/>
      <c r="U4" s="171"/>
      <c r="V4" s="167"/>
      <c r="W4" s="170"/>
      <c r="X4" s="170"/>
      <c r="Y4" s="171"/>
      <c r="Z4" s="167"/>
      <c r="AA4" s="170"/>
      <c r="AB4" s="170"/>
      <c r="AC4" s="171"/>
      <c r="AD4" s="167"/>
      <c r="AE4" s="170"/>
      <c r="AF4" s="170"/>
      <c r="AG4" s="171"/>
      <c r="AH4" s="48"/>
      <c r="AI4" s="170"/>
      <c r="AJ4" s="170"/>
      <c r="AK4" s="369"/>
      <c r="AL4" s="346"/>
      <c r="AM4" s="352"/>
      <c r="AN4" s="352"/>
      <c r="AO4" s="352"/>
      <c r="AP4" s="352"/>
      <c r="AQ4" s="355"/>
      <c r="AR4" s="767"/>
      <c r="AS4" s="767"/>
      <c r="AT4" s="767"/>
      <c r="BM4" s="335"/>
    </row>
    <row r="5" spans="1:87" ht="32" customHeight="1">
      <c r="A5" s="47"/>
      <c r="B5" s="294"/>
      <c r="C5" s="258" t="s">
        <v>70</v>
      </c>
      <c r="D5" s="264" t="s">
        <v>71</v>
      </c>
      <c r="E5" s="288">
        <f>SUM(D3:I3)+D8</f>
        <v>0</v>
      </c>
      <c r="F5" s="1280" t="s">
        <v>72</v>
      </c>
      <c r="G5" s="1281"/>
      <c r="H5" s="1282"/>
      <c r="I5" s="535">
        <f>SUM(D4:I4)</f>
        <v>0</v>
      </c>
      <c r="J5" s="298"/>
      <c r="K5" s="502"/>
      <c r="L5" s="500"/>
      <c r="M5" s="500"/>
      <c r="N5" s="1296"/>
      <c r="O5" s="1296"/>
      <c r="P5" s="1296"/>
      <c r="Q5" s="1297"/>
      <c r="R5" s="267"/>
      <c r="S5" s="172"/>
      <c r="T5" s="172" t="s">
        <v>119</v>
      </c>
      <c r="U5" s="262">
        <f>SUM(T10:T998)</f>
        <v>0</v>
      </c>
      <c r="V5" s="167"/>
      <c r="W5" s="172"/>
      <c r="X5" s="172" t="s">
        <v>119</v>
      </c>
      <c r="Y5" s="262">
        <f>SUM(X10:X998)</f>
        <v>0</v>
      </c>
      <c r="Z5" s="167"/>
      <c r="AA5" s="172"/>
      <c r="AB5" s="172" t="s">
        <v>119</v>
      </c>
      <c r="AC5" s="262">
        <f>SUM(AB10:AB998)</f>
        <v>0</v>
      </c>
      <c r="AD5" s="167"/>
      <c r="AE5" s="172"/>
      <c r="AF5" s="172" t="s">
        <v>119</v>
      </c>
      <c r="AG5" s="262">
        <f>SUM(AF10:AF998)</f>
        <v>0</v>
      </c>
      <c r="AH5" s="48"/>
      <c r="AI5" s="172"/>
      <c r="AJ5" s="172" t="s">
        <v>119</v>
      </c>
      <c r="AK5" s="370">
        <f>SUM(AJ10:AJ998)</f>
        <v>0</v>
      </c>
      <c r="AL5" s="346"/>
      <c r="AM5" s="352"/>
      <c r="AN5" s="352"/>
      <c r="AO5" s="352"/>
      <c r="AP5" s="352"/>
      <c r="AQ5" s="355"/>
      <c r="AR5" s="767"/>
      <c r="AS5" s="767"/>
      <c r="AT5" s="767"/>
      <c r="BM5" s="334"/>
    </row>
    <row r="6" spans="1:87" ht="32" customHeight="1" thickBot="1">
      <c r="A6" s="286">
        <v>1</v>
      </c>
      <c r="B6" s="248"/>
      <c r="C6" s="259">
        <v>2024</v>
      </c>
      <c r="D6" s="265" t="s">
        <v>120</v>
      </c>
      <c r="E6" s="260">
        <f>U6+Y6+AC6+AG6+D8-E8</f>
        <v>0</v>
      </c>
      <c r="F6" s="516"/>
      <c r="G6" s="516"/>
      <c r="H6" s="516"/>
      <c r="I6" s="307"/>
      <c r="J6" s="298"/>
      <c r="K6" s="502"/>
      <c r="L6" s="500"/>
      <c r="M6" s="509"/>
      <c r="N6" s="266"/>
      <c r="O6" s="266"/>
      <c r="P6" s="266"/>
      <c r="Q6" s="272"/>
      <c r="R6" s="268"/>
      <c r="S6" s="250"/>
      <c r="T6" s="250" t="s">
        <v>120</v>
      </c>
      <c r="U6" s="263">
        <f>U3-U5</f>
        <v>0</v>
      </c>
      <c r="V6" s="251"/>
      <c r="W6" s="250"/>
      <c r="X6" s="250" t="s">
        <v>120</v>
      </c>
      <c r="Y6" s="263">
        <f>Y3-Y5</f>
        <v>0</v>
      </c>
      <c r="Z6" s="251"/>
      <c r="AA6" s="250"/>
      <c r="AB6" s="250" t="s">
        <v>120</v>
      </c>
      <c r="AC6" s="263">
        <f>AC3-AC5</f>
        <v>0</v>
      </c>
      <c r="AD6" s="251"/>
      <c r="AE6" s="250"/>
      <c r="AF6" s="250" t="s">
        <v>120</v>
      </c>
      <c r="AG6" s="263">
        <f>AG3-AG5</f>
        <v>0</v>
      </c>
      <c r="AH6" s="249"/>
      <c r="AI6" s="250"/>
      <c r="AJ6" s="250" t="s">
        <v>120</v>
      </c>
      <c r="AK6" s="371">
        <f>AK3-AK5</f>
        <v>0</v>
      </c>
      <c r="AL6" s="346"/>
      <c r="AM6" s="352"/>
      <c r="AN6" s="352"/>
      <c r="AO6" s="352"/>
      <c r="AP6" s="352"/>
      <c r="AQ6" s="355"/>
      <c r="AR6" s="767"/>
      <c r="AS6" s="1288" t="s">
        <v>230</v>
      </c>
      <c r="AT6" s="767"/>
      <c r="BM6" s="334"/>
    </row>
    <row r="7" spans="1:87" ht="34" customHeight="1" thickBot="1">
      <c r="A7" s="287">
        <v>1</v>
      </c>
      <c r="B7" s="1303" t="str">
        <f>IF(C6&lt;&gt;"", "Zahlungseingänge im Jahr " &amp; C6 &amp; " von Anträgen aus " &amp; (C6-1) &amp; ":", "")</f>
        <v>Zahlungseingänge im Jahr 2024 von Anträgen aus 2023:</v>
      </c>
      <c r="C7" s="1304"/>
      <c r="D7" s="254" t="str">
        <f>IF(C6&lt;&gt;"", (C6-1) &amp; " beantragt und in " &amp; C6 &amp; " erhalten:", "")</f>
        <v>2023 beantragt und in 2024 erhalten:</v>
      </c>
      <c r="E7" s="254" t="s">
        <v>116</v>
      </c>
      <c r="F7" s="1283" t="s">
        <v>126</v>
      </c>
      <c r="G7" s="1284"/>
      <c r="H7" s="1285"/>
      <c r="I7" s="534"/>
      <c r="J7" s="487" t="s">
        <v>125</v>
      </c>
      <c r="K7" s="531"/>
      <c r="L7" s="532"/>
      <c r="M7" s="1290" t="s">
        <v>159</v>
      </c>
      <c r="N7" s="303" t="s">
        <v>127</v>
      </c>
      <c r="O7" s="273" t="s">
        <v>127</v>
      </c>
      <c r="P7" s="273" t="s">
        <v>127</v>
      </c>
      <c r="Q7" s="274" t="s">
        <v>127</v>
      </c>
      <c r="R7" s="268"/>
      <c r="S7" s="250"/>
      <c r="T7" s="250"/>
      <c r="U7" s="278"/>
      <c r="V7" s="251"/>
      <c r="W7" s="250"/>
      <c r="X7" s="250"/>
      <c r="Y7" s="278"/>
      <c r="Z7" s="251"/>
      <c r="AA7" s="250"/>
      <c r="AB7" s="250"/>
      <c r="AC7" s="278"/>
      <c r="AD7" s="251"/>
      <c r="AE7" s="295"/>
      <c r="AF7" s="296"/>
      <c r="AG7" s="278"/>
      <c r="AH7" s="249"/>
      <c r="AI7" s="1268" t="s">
        <v>124</v>
      </c>
      <c r="AJ7" s="1269"/>
      <c r="AK7" s="1270"/>
      <c r="AL7" s="346"/>
      <c r="AM7" s="352"/>
      <c r="AN7" s="352"/>
      <c r="AO7" s="352"/>
      <c r="AP7" s="352"/>
      <c r="AQ7" s="355"/>
      <c r="AR7" s="767"/>
      <c r="AS7" s="1289"/>
      <c r="AT7" s="767"/>
      <c r="AW7" s="1300" t="s">
        <v>153</v>
      </c>
      <c r="AX7" s="1301"/>
      <c r="AY7" s="1301"/>
      <c r="AZ7" s="1301"/>
      <c r="BA7" s="1301"/>
      <c r="BB7" s="1301"/>
      <c r="BC7" s="1302"/>
      <c r="BE7" s="1300" t="s">
        <v>153</v>
      </c>
      <c r="BF7" s="1301"/>
      <c r="BG7" s="1301"/>
      <c r="BH7" s="1301"/>
      <c r="BI7" s="1301"/>
      <c r="BJ7" s="1301"/>
      <c r="BK7" s="1302"/>
      <c r="BM7" s="1300" t="s">
        <v>153</v>
      </c>
      <c r="BN7" s="1301"/>
      <c r="BO7" s="1301"/>
      <c r="BP7" s="1301"/>
      <c r="BQ7" s="1301"/>
      <c r="BR7" s="1301"/>
      <c r="BS7" s="1302"/>
    </row>
    <row r="8" spans="1:87" ht="40" customHeight="1">
      <c r="A8" s="255">
        <f>DATE(C$6,A7,A6)</f>
        <v>45292</v>
      </c>
      <c r="B8" s="1305"/>
      <c r="C8" s="1306"/>
      <c r="D8" s="285"/>
      <c r="E8" s="285"/>
      <c r="F8" s="1307">
        <f>D8-E8</f>
        <v>0</v>
      </c>
      <c r="G8" s="1308"/>
      <c r="H8" s="1309"/>
      <c r="I8" s="297"/>
      <c r="J8" s="488"/>
      <c r="K8" s="533"/>
      <c r="L8" s="532"/>
      <c r="M8" s="1291"/>
      <c r="N8" s="304">
        <v>45369</v>
      </c>
      <c r="O8" s="269">
        <v>45474</v>
      </c>
      <c r="P8" s="270">
        <v>45566</v>
      </c>
      <c r="Q8" s="271">
        <v>45658</v>
      </c>
      <c r="R8" s="173"/>
      <c r="S8" s="279" t="s">
        <v>71</v>
      </c>
      <c r="T8" s="279" t="s">
        <v>119</v>
      </c>
      <c r="U8" s="276" t="s">
        <v>73</v>
      </c>
      <c r="V8" s="277"/>
      <c r="W8" s="279" t="s">
        <v>71</v>
      </c>
      <c r="X8" s="279" t="s">
        <v>119</v>
      </c>
      <c r="Y8" s="276" t="s">
        <v>73</v>
      </c>
      <c r="Z8" s="277"/>
      <c r="AA8" s="279" t="s">
        <v>71</v>
      </c>
      <c r="AB8" s="279" t="s">
        <v>119</v>
      </c>
      <c r="AC8" s="276" t="s">
        <v>73</v>
      </c>
      <c r="AD8" s="277"/>
      <c r="AE8" s="279" t="s">
        <v>71</v>
      </c>
      <c r="AF8" s="279" t="s">
        <v>119</v>
      </c>
      <c r="AG8" s="275" t="s">
        <v>73</v>
      </c>
      <c r="AH8" s="64"/>
      <c r="AI8" s="279" t="s">
        <v>71</v>
      </c>
      <c r="AJ8" s="279" t="s">
        <v>119</v>
      </c>
      <c r="AK8" s="372" t="s">
        <v>73</v>
      </c>
      <c r="AL8" s="346"/>
      <c r="AM8" s="352"/>
      <c r="AN8" s="352"/>
      <c r="AO8" s="352"/>
      <c r="AP8" s="352"/>
      <c r="AQ8" s="355"/>
      <c r="AR8" s="767"/>
      <c r="AS8" s="1289"/>
      <c r="AT8" s="767"/>
      <c r="AW8" s="368"/>
      <c r="AX8" s="361" t="s">
        <v>143</v>
      </c>
      <c r="AY8" s="361"/>
      <c r="AZ8" s="361" t="s">
        <v>144</v>
      </c>
      <c r="BA8" s="361" t="s">
        <v>145</v>
      </c>
      <c r="BB8" s="361" t="s">
        <v>146</v>
      </c>
      <c r="BC8" s="362" t="s">
        <v>147</v>
      </c>
      <c r="BD8" s="366"/>
      <c r="BE8" s="363"/>
      <c r="BF8" s="361" t="s">
        <v>143</v>
      </c>
      <c r="BG8" s="361"/>
      <c r="BH8" s="361" t="s">
        <v>144</v>
      </c>
      <c r="BI8" s="361" t="s">
        <v>145</v>
      </c>
      <c r="BJ8" s="361" t="s">
        <v>146</v>
      </c>
      <c r="BK8" s="362" t="s">
        <v>147</v>
      </c>
      <c r="BL8" s="367"/>
      <c r="BM8" s="364"/>
      <c r="BN8" s="365" t="s">
        <v>143</v>
      </c>
      <c r="BO8" s="365"/>
      <c r="BP8" s="361" t="s">
        <v>144</v>
      </c>
      <c r="BQ8" s="361" t="s">
        <v>145</v>
      </c>
      <c r="BR8" s="361" t="s">
        <v>146</v>
      </c>
      <c r="BS8" s="362" t="s">
        <v>147</v>
      </c>
    </row>
    <row r="9" spans="1:87" ht="22.25" customHeight="1">
      <c r="A9" s="174">
        <f>$A8</f>
        <v>45292</v>
      </c>
      <c r="B9" s="256" t="s">
        <v>74</v>
      </c>
      <c r="C9" s="257" t="s">
        <v>75</v>
      </c>
      <c r="D9" s="252" t="s">
        <v>76</v>
      </c>
      <c r="E9" s="253" t="s">
        <v>11</v>
      </c>
      <c r="F9" s="253" t="s">
        <v>4</v>
      </c>
      <c r="G9" s="253" t="s">
        <v>5</v>
      </c>
      <c r="H9" s="253" t="s">
        <v>6</v>
      </c>
      <c r="I9" s="302" t="s">
        <v>77</v>
      </c>
      <c r="J9" s="306"/>
      <c r="K9" s="503"/>
      <c r="L9" s="496" t="str">
        <f>IFERROR(VLOOKUP(B10,'Aktuelle Einnahmen'!A2:J104,10,0),"")</f>
        <v>+§10</v>
      </c>
      <c r="M9" s="510" t="str">
        <f>M2</f>
        <v>Stufe C</v>
      </c>
      <c r="N9" s="305"/>
      <c r="O9" s="175"/>
      <c r="P9" s="175"/>
      <c r="Q9" s="176"/>
      <c r="R9" s="177"/>
      <c r="S9" s="178"/>
      <c r="T9" s="178"/>
      <c r="U9" s="177"/>
      <c r="V9" s="179"/>
      <c r="W9" s="178"/>
      <c r="X9" s="178"/>
      <c r="Y9" s="177"/>
      <c r="Z9" s="179"/>
      <c r="AA9" s="178"/>
      <c r="AB9" s="178"/>
      <c r="AC9" s="177"/>
      <c r="AD9" s="179"/>
      <c r="AE9" s="178"/>
      <c r="AF9" s="178"/>
      <c r="AG9" s="177"/>
      <c r="AH9" s="180"/>
      <c r="AI9" s="178"/>
      <c r="AJ9" s="178"/>
      <c r="AK9" s="373"/>
      <c r="AL9" s="347"/>
      <c r="AM9" s="353"/>
      <c r="AN9" s="353"/>
      <c r="AO9" s="353"/>
      <c r="AP9" s="353"/>
      <c r="AQ9" s="349"/>
      <c r="AR9" s="768"/>
      <c r="AS9" s="774" t="s">
        <v>231</v>
      </c>
      <c r="AT9" s="772" cm="1">
        <f t="array" ref="AT9">IFERROR(INDEX('Aktuelle Einnahmen'!$A$1:$A$1000, MATCH(TRUE, ISNUMBER(SEARCH(AS9, 'Aktuelle Einnahmen'!$D$1:$D$1000)), 0)), "")</f>
        <v>12</v>
      </c>
      <c r="AU9" s="773" t="str" cm="1">
        <f t="array" ref="AU9">IFERROR(INDEX('Aktuelle Einnahmen'!$B$1:$B$1000, MATCH(TRUE, ISNUMBER(SEARCH(AS9, 'Aktuelle Einnahmen'!$D$1:$D$1000)), 0)), "")</f>
        <v>Liam</v>
      </c>
      <c r="AV9" s="771" t="str" cm="1">
        <f t="array" ref="AV9">IFERROR(INDEX('Aktuelle Einnahmen'!$C$1:$C$1000, MATCH(TRUE, ISNUMBER(SEARCH(AS9, 'Aktuelle Einnahmen'!$D$1:$D$1000)), 0)), "")</f>
        <v>Lopez</v>
      </c>
      <c r="AW9" s="339">
        <v>1</v>
      </c>
      <c r="AX9" s="341" t="str">
        <f>IFERROR(VLOOKUP(AW9,'Aktuelle Einnahmen'!A2:G104,3,0),"")</f>
        <v>Anderson</v>
      </c>
      <c r="AY9" s="777" t="str">
        <f>IFERROR(VLOOKUP(AW9,'Aktuelle Einnahmen'!A2:G104,4,0),"")</f>
        <v xml:space="preserve">10 XVII 763 /15 A </v>
      </c>
      <c r="AZ9" s="345">
        <f>AM1004</f>
        <v>0</v>
      </c>
      <c r="BA9" s="345">
        <f t="shared" ref="BA9:BC9" si="0">AN1004</f>
        <v>0</v>
      </c>
      <c r="BB9" s="345">
        <f t="shared" si="0"/>
        <v>0</v>
      </c>
      <c r="BC9" s="358">
        <f t="shared" si="0"/>
        <v>0</v>
      </c>
      <c r="BD9" s="1298"/>
      <c r="BE9" s="339">
        <v>34</v>
      </c>
      <c r="BF9" s="341">
        <f>IFERROR(VLOOKUP(BE9,'Aktuelle Einnahmen'!A9:G105,3,0),"")</f>
        <v>0</v>
      </c>
      <c r="BG9" s="777">
        <f>IFERROR(VLOOKUP(BE9,'Aktuelle Einnahmen'!A9:G105,4,0),"")</f>
        <v>0</v>
      </c>
      <c r="BH9" s="345">
        <f>AM1037</f>
        <v>0</v>
      </c>
      <c r="BI9" s="345">
        <f t="shared" ref="BI9:BK9" si="1">AN1037</f>
        <v>0</v>
      </c>
      <c r="BJ9" s="345">
        <f t="shared" si="1"/>
        <v>0</v>
      </c>
      <c r="BK9" s="358">
        <f t="shared" si="1"/>
        <v>0</v>
      </c>
      <c r="BM9" s="337">
        <v>67</v>
      </c>
      <c r="BN9" s="343">
        <f>IFERROR(VLOOKUP(BM9,'Aktuelle Einnahmen'!A9:G105,3,0),"")</f>
        <v>0</v>
      </c>
      <c r="BO9" s="775">
        <f>IFERROR(VLOOKUP(BM9,'Aktuelle Einnahmen'!A9:G105,4,0),"")</f>
        <v>0</v>
      </c>
      <c r="BP9" s="345">
        <f>AM1070</f>
        <v>0</v>
      </c>
      <c r="BQ9" s="345">
        <f t="shared" ref="BQ9:BS9" si="2">AN1070</f>
        <v>0</v>
      </c>
      <c r="BR9" s="345">
        <f t="shared" si="2"/>
        <v>0</v>
      </c>
      <c r="BS9" s="358">
        <f t="shared" si="2"/>
        <v>0</v>
      </c>
      <c r="BT9" s="335"/>
      <c r="BU9" s="335"/>
      <c r="BV9" s="335"/>
      <c r="BW9" s="335"/>
      <c r="BX9" s="335"/>
      <c r="BY9" s="335"/>
      <c r="BZ9" s="335"/>
      <c r="CA9" s="335"/>
      <c r="CB9" s="335"/>
      <c r="CC9" s="335"/>
      <c r="CD9" s="335"/>
      <c r="CE9" s="335"/>
      <c r="CF9" s="335"/>
      <c r="CG9" s="335"/>
      <c r="CH9" s="335"/>
      <c r="CI9" s="335"/>
    </row>
    <row r="10" spans="1:87" ht="23" customHeight="1">
      <c r="A10" s="181">
        <f t="shared" ref="A10:A72" si="3">$A9</f>
        <v>45292</v>
      </c>
      <c r="B10" s="182">
        <v>1</v>
      </c>
      <c r="C10" s="183" t="str">
        <f>IFERROR(VLOOKUP($B10,'Aktuelle Einnahmen'!A2:G104,3,0),"")</f>
        <v>Anderson</v>
      </c>
      <c r="D10" s="184" t="str">
        <f>IFERROR(VLOOKUP($B10,'Aktuelle Einnahmen'!A2:G104,2,0),"")</f>
        <v>Anna</v>
      </c>
      <c r="E10" s="185" t="str">
        <f>IFERROR(VLOOKUP($B10,'Aktuelle Einnahmen'!A2:G104,4,0),"")</f>
        <v xml:space="preserve">10 XVII 763 /15 A </v>
      </c>
      <c r="F10" s="94">
        <f>IFERROR(VLOOKUP($B10,'Aktuelle Einnahmen'!A2:G104,5,0),"")</f>
        <v>4</v>
      </c>
      <c r="G10" s="94">
        <f>IFERROR(VLOOKUP($B10,'Aktuelle Einnahmen'!A2:G104,6,0),"")</f>
        <v>1</v>
      </c>
      <c r="H10" s="94">
        <f>IFERROR(VLOOKUP($B10,'Aktuelle Einnahmen'!A2:G104,7,0),"")</f>
        <v>20</v>
      </c>
      <c r="I10" s="186">
        <f>DATE(H10,G10,F10)</f>
        <v>7309</v>
      </c>
      <c r="J10" s="472">
        <f ca="1">C2</f>
        <v>45475</v>
      </c>
      <c r="K10" s="505" t="str">
        <f>IF(OR(C6=2025,C6=2024),"+Inflat.-P","")</f>
        <v>+Inflat.-P</v>
      </c>
      <c r="L10" s="1262" t="str">
        <f>IFERROR(VLOOKUP(B10,'Aktuelle Einnahmen'!A2:I104,9,0),"")</f>
        <v>Vermögend und stationär</v>
      </c>
      <c r="M10" s="1263"/>
      <c r="N10" s="261"/>
      <c r="O10" s="261"/>
      <c r="P10" s="261"/>
      <c r="Q10" s="261"/>
      <c r="R10" s="189"/>
      <c r="S10" s="190"/>
      <c r="T10" s="190"/>
      <c r="U10" s="191"/>
      <c r="V10" s="192"/>
      <c r="W10" s="190"/>
      <c r="X10" s="190"/>
      <c r="Y10" s="191"/>
      <c r="Z10" s="192"/>
      <c r="AA10" s="190"/>
      <c r="AB10" s="190"/>
      <c r="AC10" s="191"/>
      <c r="AD10" s="192"/>
      <c r="AE10" s="190"/>
      <c r="AF10" s="190"/>
      <c r="AG10" s="191"/>
      <c r="AH10" s="193"/>
      <c r="AI10" s="190"/>
      <c r="AJ10" s="190"/>
      <c r="AK10" s="374"/>
      <c r="AL10" s="348"/>
      <c r="AM10" s="354"/>
      <c r="AN10" s="354"/>
      <c r="AO10" s="354"/>
      <c r="AP10" s="354"/>
      <c r="AQ10" s="350"/>
      <c r="AR10" s="769"/>
      <c r="AS10" s="769"/>
      <c r="AT10" s="769"/>
      <c r="AW10" s="339">
        <v>2</v>
      </c>
      <c r="AX10" s="341" t="str">
        <f>IFERROR(VLOOKUP(AW10,'Aktuelle Einnahmen'!A3:G105,3,0),"")</f>
        <v>Brown</v>
      </c>
      <c r="AY10" s="777" t="str">
        <f>IFERROR(VLOOKUP(AW10,'Aktuelle Einnahmen'!A3:G105,4,0),"")</f>
        <v>10 XVII 834 / 19 B</v>
      </c>
      <c r="AZ10" s="345">
        <f t="shared" ref="AZ10:AZ40" si="4">AM1005</f>
        <v>0</v>
      </c>
      <c r="BA10" s="345">
        <f t="shared" ref="BA10:BA41" si="5">AN1005</f>
        <v>0</v>
      </c>
      <c r="BB10" s="345">
        <f t="shared" ref="BB10:BB41" si="6">AO1005</f>
        <v>0</v>
      </c>
      <c r="BC10" s="358">
        <f t="shared" ref="BC10:BC41" si="7">AP1005</f>
        <v>0</v>
      </c>
      <c r="BD10" s="1299"/>
      <c r="BE10" s="339">
        <v>35</v>
      </c>
      <c r="BF10" s="341">
        <f>IFERROR(VLOOKUP(BE10,'Aktuelle Einnahmen'!A10:G106,3,0),"")</f>
        <v>0</v>
      </c>
      <c r="BG10" s="777">
        <f>IFERROR(VLOOKUP(BE10,'Aktuelle Einnahmen'!A10:G106,4,0),"")</f>
        <v>0</v>
      </c>
      <c r="BH10" s="345">
        <f t="shared" ref="BH10:BH40" si="8">AM1038</f>
        <v>0</v>
      </c>
      <c r="BI10" s="345">
        <f t="shared" ref="BI10:BI41" si="9">AN1038</f>
        <v>0</v>
      </c>
      <c r="BJ10" s="345">
        <f t="shared" ref="BJ10:BJ41" si="10">AO1038</f>
        <v>0</v>
      </c>
      <c r="BK10" s="358">
        <f t="shared" ref="BK10:BK41" si="11">AP1038</f>
        <v>0</v>
      </c>
      <c r="BM10" s="337">
        <v>68</v>
      </c>
      <c r="BN10" s="343">
        <f>IFERROR(VLOOKUP(BM10,'Aktuelle Einnahmen'!A10:G106,3,0),"")</f>
        <v>0</v>
      </c>
      <c r="BO10" s="775">
        <f>IFERROR(VLOOKUP(BM10,'Aktuelle Einnahmen'!A10:G106,4,0),"")</f>
        <v>0</v>
      </c>
      <c r="BP10" s="345">
        <f t="shared" ref="BP10:BP41" si="12">AM1071</f>
        <v>0</v>
      </c>
      <c r="BQ10" s="345">
        <f t="shared" ref="BQ10:BQ41" si="13">AN1071</f>
        <v>0</v>
      </c>
      <c r="BR10" s="345">
        <f t="shared" ref="BR10:BR41" si="14">AO1071</f>
        <v>0</v>
      </c>
      <c r="BS10" s="358">
        <f t="shared" ref="BS10:BS41" si="15">AP1071</f>
        <v>0</v>
      </c>
      <c r="BT10" s="335"/>
      <c r="BU10" s="335"/>
      <c r="BV10" s="335"/>
      <c r="BW10" s="335"/>
      <c r="BX10" s="335"/>
      <c r="BY10" s="335"/>
      <c r="BZ10" s="335"/>
      <c r="CA10" s="335"/>
      <c r="CB10" s="335"/>
      <c r="CC10" s="335"/>
      <c r="CD10" s="335"/>
      <c r="CE10" s="335"/>
      <c r="CF10" s="335"/>
      <c r="CG10" s="335"/>
      <c r="CH10" s="335"/>
      <c r="CI10" s="335"/>
    </row>
    <row r="11" spans="1:87" ht="22.25" customHeight="1">
      <c r="A11" s="181">
        <f t="shared" si="3"/>
        <v>45292</v>
      </c>
      <c r="B11" s="491">
        <f>DAY(I10)</f>
        <v>4</v>
      </c>
      <c r="C11" s="489" t="s">
        <v>158</v>
      </c>
      <c r="D11" s="523">
        <f>(I11*4)+J11/3+1</f>
        <v>16</v>
      </c>
      <c r="E11" s="194">
        <f>J13+1</f>
        <v>45204</v>
      </c>
      <c r="F11" s="195">
        <f t="shared" ref="F11:F18" si="16">DAY(E11)</f>
        <v>5</v>
      </c>
      <c r="G11" s="196">
        <f t="shared" ref="G11:G18" si="17">MONTH(E11)</f>
        <v>10</v>
      </c>
      <c r="H11" s="195">
        <f t="shared" ref="H11:H18" si="18">YEAR(E11)</f>
        <v>2023</v>
      </c>
      <c r="I11" s="197">
        <f>H11-(H10+2000)</f>
        <v>3</v>
      </c>
      <c r="J11" s="198">
        <f>G11-G10</f>
        <v>9</v>
      </c>
      <c r="K11" s="504" t="str">
        <f>L9</f>
        <v>+§10</v>
      </c>
      <c r="L11" s="469"/>
      <c r="M11" s="473" t="str">
        <f ca="1">SUM(J10-E12)&amp;" Tage"</f>
        <v>180 Tage</v>
      </c>
      <c r="N11" s="206"/>
      <c r="O11" s="201"/>
      <c r="P11" s="201"/>
      <c r="Q11" s="202"/>
      <c r="R11" s="189"/>
      <c r="S11" s="203"/>
      <c r="T11" s="203"/>
      <c r="U11" s="204"/>
      <c r="V11" s="192"/>
      <c r="W11" s="203"/>
      <c r="X11" s="203"/>
      <c r="Y11" s="204"/>
      <c r="Z11" s="192"/>
      <c r="AA11" s="203"/>
      <c r="AB11" s="203"/>
      <c r="AC11" s="204"/>
      <c r="AD11" s="192"/>
      <c r="AE11" s="203"/>
      <c r="AF11" s="203"/>
      <c r="AG11" s="204"/>
      <c r="AH11" s="193"/>
      <c r="AI11" s="203"/>
      <c r="AJ11" s="203"/>
      <c r="AK11" s="375"/>
      <c r="AL11" s="348"/>
      <c r="AM11" s="354"/>
      <c r="AN11" s="354"/>
      <c r="AO11" s="354"/>
      <c r="AP11" s="354"/>
      <c r="AQ11" s="350"/>
      <c r="AR11" s="769"/>
      <c r="AS11" s="769"/>
      <c r="AT11" s="769"/>
      <c r="AW11" s="339">
        <v>3</v>
      </c>
      <c r="AX11" s="341" t="str">
        <f>IFERROR(VLOOKUP(AW11,'Aktuelle Einnahmen'!A4:G105,3,0),"")</f>
        <v>Carter</v>
      </c>
      <c r="AY11" s="777" t="str">
        <f>IFERROR(VLOOKUP(AW11,'Aktuelle Einnahmen'!A4:G106,4,0),"")</f>
        <v>8 XVII 19/06 C</v>
      </c>
      <c r="AZ11" s="345">
        <f t="shared" si="4"/>
        <v>0</v>
      </c>
      <c r="BA11" s="345">
        <f t="shared" si="5"/>
        <v>0</v>
      </c>
      <c r="BB11" s="345">
        <f t="shared" si="6"/>
        <v>0</v>
      </c>
      <c r="BC11" s="358">
        <f t="shared" si="7"/>
        <v>0</v>
      </c>
      <c r="BD11" s="1299"/>
      <c r="BE11" s="339">
        <v>36</v>
      </c>
      <c r="BF11" s="341">
        <f>IFERROR(VLOOKUP(BE11,'Aktuelle Einnahmen'!A11:G107,3,0),"")</f>
        <v>0</v>
      </c>
      <c r="BG11" s="777">
        <f>IFERROR(VLOOKUP(BE11,'Aktuelle Einnahmen'!A11:G107,4,0),"")</f>
        <v>0</v>
      </c>
      <c r="BH11" s="345">
        <f t="shared" si="8"/>
        <v>0</v>
      </c>
      <c r="BI11" s="345">
        <f t="shared" si="9"/>
        <v>0</v>
      </c>
      <c r="BJ11" s="345">
        <f t="shared" si="10"/>
        <v>0</v>
      </c>
      <c r="BK11" s="358">
        <f t="shared" si="11"/>
        <v>0</v>
      </c>
      <c r="BM11" s="337">
        <v>69</v>
      </c>
      <c r="BN11" s="343">
        <f>IFERROR(VLOOKUP(BM11,'Aktuelle Einnahmen'!A11:G107,3,0),"")</f>
        <v>0</v>
      </c>
      <c r="BO11" s="775">
        <f>IFERROR(VLOOKUP(BM11,'Aktuelle Einnahmen'!A11:G107,4,0),"")</f>
        <v>0</v>
      </c>
      <c r="BP11" s="345">
        <f t="shared" si="12"/>
        <v>0</v>
      </c>
      <c r="BQ11" s="345">
        <f t="shared" si="13"/>
        <v>0</v>
      </c>
      <c r="BR11" s="345">
        <f t="shared" si="14"/>
        <v>0</v>
      </c>
      <c r="BS11" s="358">
        <f t="shared" si="15"/>
        <v>0</v>
      </c>
      <c r="BT11" s="335"/>
      <c r="BU11" s="335"/>
      <c r="BV11" s="335"/>
      <c r="BW11" s="335"/>
      <c r="BX11" s="335"/>
      <c r="BY11" s="335"/>
      <c r="BZ11" s="335"/>
      <c r="CA11" s="335"/>
      <c r="CB11" s="335"/>
      <c r="CC11" s="335"/>
      <c r="CD11" s="335"/>
      <c r="CE11" s="335"/>
      <c r="CF11" s="335"/>
      <c r="CG11" s="335"/>
      <c r="CH11" s="335"/>
      <c r="CI11" s="335"/>
    </row>
    <row r="12" spans="1:87" ht="22.25" customHeight="1">
      <c r="A12" s="181">
        <f t="shared" si="3"/>
        <v>45292</v>
      </c>
      <c r="B12" s="492"/>
      <c r="C12" s="490"/>
      <c r="D12" s="524"/>
      <c r="E12" s="194">
        <f>DATE(YEAR(E11),MONTH(E11)+3,DAY(E11)-1)</f>
        <v>45295</v>
      </c>
      <c r="F12" s="195">
        <f t="shared" si="16"/>
        <v>4</v>
      </c>
      <c r="G12" s="196">
        <f t="shared" si="17"/>
        <v>1</v>
      </c>
      <c r="H12" s="195">
        <f t="shared" si="18"/>
        <v>2024</v>
      </c>
      <c r="I12" s="205">
        <v>-1</v>
      </c>
      <c r="J12" s="198">
        <f>F11-F10</f>
        <v>1</v>
      </c>
      <c r="K12" s="501" t="str">
        <f>K10</f>
        <v>+Inflat.-P</v>
      </c>
      <c r="L12" s="511">
        <f>IF(M9="Stufe A",IF(AND(L10="Auswahl treffen",D11&gt;=0,D11&lt;=1000),J9,IF(AND(L10="Vermögend und ambulant",D11&gt;8,D11&lt;=1000),130,IF(AND(L10="Vermögend und ambulant",D11&gt;4,D11&lt;=8),158,IF(AND(L10="Vermögend und ambulant",D11&gt;2,D11&lt;=4),192,IF(AND(L10="Vermögend und ambulant",D11&gt;1,D11&lt;=2),208,IF(AND(L10="Vermögend und ambulant",D11&gt;0,D11&lt;=1),298,IF(AND(L10="Vermögend und stationär",D11&gt;8,D11&lt;=1000),78,IF(AND(L10="Vermögend und stationär",D11&gt;4,D11&lt;=8),91,IF(AND(L10="Vermögend und stationär",D11&gt;2,D11&lt;=4),140,IF(AND(L10="Vermögend und stationär",D11&gt;1,D11&lt;=2),158,IF(AND(L10="Vermögend und stationär",D11&gt;0,D11&lt;=1),200,IF(AND(L10="Mittellos und ambulant",D11&gt;8,D11&lt;=1000),105,IF(AND(L10="Mittellos und ambulant",D11&gt;4,D11&lt;=8),122,IF(AND(L10="Mittellos und ambulant",D11&gt;2,D11&lt;=4),151,IF(AND(L10="Mittellos und ambulant",D11&gt;1,D11&lt;=2),170,IF(AND(L10="Mittellos und ambulant",D11&gt;0,D11&lt;=1),208,IF(AND(L10="Mittellos und stationär",D11&gt;8,D11&lt;=1000),62,IF(AND(L10="Mittellos und stationär",D11&gt;4,D11&lt;=8),87,IF(AND(L10="Mittellos und stationär",D11&gt;2,D11&lt;=4),124,IF(AND(L10="Mittellos und stationär",D11&gt;1,D11&lt;=2),129,IF(AND(L10="Mittellos und stationär",D11&gt;0,D11&lt;=1),194,""))))))))))))))))))))),IF(M9="Stufe B",IF(AND(L10="Auswahl treffen",D11&gt;=0,D11&lt;=1000),J9,IF(AND(L10="Vermögend und ambulant",D11&gt;8,D11&lt;=1000),161,IF(AND(L10="Vermögend und ambulant",D11&gt;4,D11&lt;=8),196,IF(AND(L10="Vermögend und ambulant",D11&gt;2,D11&lt;=4),238,IF(AND(L10="Vermögend und ambulant",D11&gt;1,D11&lt;=2),258,IF(AND(L10="Vermögend und ambulant",D11&gt;0,D11&lt;=1),370,IF(AND(L10="Vermögend und stationär",D11&gt;8,D11&lt;=1000),96,IF(AND(L10="Vermögend und stationär",D11&gt;4,D11&lt;=8),113,IF(AND(L10="Vermögend und stationär",D11&gt;2,D11&lt;=4),174,IF(AND(L10="Vermögend und stationär",D11&gt;1,D11&lt;=2),196,IF(AND(L10="Vermögend und stationär",D11&gt;0,D11&lt;=1),249,IF(AND(L10="Mittellos und ambulant",D11&gt;8,D11&lt;=1000),130,IF(AND(L10="Mittellos und ambulant",D11&gt;4,D11&lt;=8),151,IF(AND(L10="Mittellos und ambulant",D11&gt;2,D11&lt;=4),188,IF(AND(L10="Mittellos und ambulant",D11&gt;1,D11&lt;=2),211,IF(AND(L10="Mittellos und ambulant",D11&gt;0,D11&lt;=1),258,IF(AND(L10="Mittellos und stationär",D11&gt;8,D11&lt;=1000),78,IF(AND(L10="Mittellos und stationär",D11&gt;4,D11&lt;=8),107,IF(AND(L10="Mittellos und stationär",D11&gt;2,D11&lt;=4),154,IF(AND(L10="Mittellos und stationär",D11&gt;1,D11&lt;=2),158,IF(AND(L10="Mittellos und stationär",D11&gt;0,D11&lt;=1),241,""))))))))))))))))))))),IF(M9="Stufe C",IF(AND(L10="Auswahl treffen",D11&gt;=0,D11&lt;=1000),J9,IF(AND(L10="Vermögend und ambulant",D11&gt;8,D11&lt;=1000),211,IF(AND(L10="Vermögend und ambulant",D11&gt;4,D11&lt;=8),257,IF(AND(L10="Vermögend und ambulant",D11&gt;2,D11&lt;=4),312,IF(AND(L10="Vermögend und ambulant",D11&gt;1,D11&lt;=2),339,IF(AND(L10="Vermögend und ambulant",D11&gt;0,D11&lt;=1),486,IF(AND(L10="Vermögend und stationär",D11&gt;8,D11&lt;=1000),127,IF(AND(L10="Vermögend und stationär",D11&gt;4,D11&lt;=8),149,IF(AND(L10="Vermögend und stationär",D11&gt;2,D11&lt;=4),229,IF(AND(L10="Vermögend und stationär",D11&gt;1,D11&lt;=2),257,IF(AND(L10="Vermögend und stationär",D11&gt;0,D11&lt;=1),327,IF(AND(L10="Mittellos und ambulant",D11&gt;8,D11&lt;=1000),171,IF(AND(L10="Mittellos und ambulant",D11&gt;4,D11&lt;=8),198,IF(AND(L10="Mittellos und ambulant",D11&gt;2,D11&lt;=4),246,IF(AND(L10="Mittellos und ambulant",D11&gt;1,D11&lt;=2),277,IF(AND(L10="Mittellos und ambulant",D11&gt;0,D11&lt;=1),339,IF(AND(L10="Mittellos und stationär",D11&gt;8,D11&lt;=1000),102,IF(AND(L10="Mittellos und stationär",D11&gt;4,D11&lt;=8),141,IF(AND(L10="Mittellos und stationär",D11&gt;2,D11&lt;=4),202,IF(AND(L10="Mittellos und stationär",D11&gt;1,D11&lt;=2),208,IF(AND(L10="Mittellos und stationär",D11&gt;0,D11&lt;=1),317,""))))))))))))))))))))),"")))*3+(J9*90)</f>
        <v>381</v>
      </c>
      <c r="M12" s="507" t="str">
        <f>CONCATENATE(K12, K11)</f>
        <v>+Inflat.-P+§10</v>
      </c>
      <c r="N12" s="206" t="s">
        <v>118</v>
      </c>
      <c r="O12" s="207"/>
      <c r="P12" s="207"/>
      <c r="Q12" s="208"/>
      <c r="R12" s="187"/>
      <c r="S12" s="582" t="s">
        <v>118</v>
      </c>
      <c r="T12" s="582" t="s">
        <v>117</v>
      </c>
      <c r="U12" s="210" t="s">
        <v>26</v>
      </c>
      <c r="V12" s="192"/>
      <c r="W12" s="203"/>
      <c r="X12" s="203"/>
      <c r="Y12" s="210"/>
      <c r="Z12" s="192"/>
      <c r="AA12" s="203"/>
      <c r="AB12" s="203"/>
      <c r="AC12" s="210"/>
      <c r="AD12" s="192"/>
      <c r="AE12" s="203"/>
      <c r="AF12" s="203"/>
      <c r="AG12" s="210"/>
      <c r="AH12" s="193"/>
      <c r="AI12" s="203"/>
      <c r="AJ12" s="203"/>
      <c r="AK12" s="376"/>
      <c r="AL12" s="348" t="s">
        <v>148</v>
      </c>
      <c r="AM12" s="354">
        <f>IF(SUM(N10:N18)=SUM(S10:S18), 0, SUM(N10:N18)-SUM(S10:S18))</f>
        <v>0</v>
      </c>
      <c r="AN12" s="354"/>
      <c r="AO12" s="354"/>
      <c r="AP12" s="354"/>
      <c r="AQ12" s="350">
        <f>AM12+AN12+AO12+AP12</f>
        <v>0</v>
      </c>
      <c r="AR12" s="769"/>
      <c r="AS12" s="769"/>
      <c r="AT12" s="769"/>
      <c r="AW12" s="339">
        <v>4</v>
      </c>
      <c r="AX12" s="341" t="str">
        <f>IFERROR(VLOOKUP(AW12,'Aktuelle Einnahmen'!A5:G105,3,0),"")</f>
        <v>Davis</v>
      </c>
      <c r="AY12" s="777" t="str">
        <f>IFERROR(VLOOKUP(AW12,'Aktuelle Einnahmen'!A5:G107,4,0),"")</f>
        <v>10 XVII 77 / 17 D</v>
      </c>
      <c r="AZ12" s="345">
        <f t="shared" si="4"/>
        <v>0</v>
      </c>
      <c r="BA12" s="345">
        <f t="shared" si="5"/>
        <v>0</v>
      </c>
      <c r="BB12" s="345">
        <f t="shared" si="6"/>
        <v>0</v>
      </c>
      <c r="BC12" s="358">
        <f t="shared" si="7"/>
        <v>0</v>
      </c>
      <c r="BD12" s="1299"/>
      <c r="BE12" s="339">
        <v>37</v>
      </c>
      <c r="BF12" s="341">
        <f>IFERROR(VLOOKUP(BE12,'Aktuelle Einnahmen'!A12:G108,3,0),"")</f>
        <v>0</v>
      </c>
      <c r="BG12" s="777">
        <f>IFERROR(VLOOKUP(BE12,'Aktuelle Einnahmen'!A12:G108,4,0),"")</f>
        <v>0</v>
      </c>
      <c r="BH12" s="345">
        <f t="shared" si="8"/>
        <v>0</v>
      </c>
      <c r="BI12" s="345">
        <f t="shared" si="9"/>
        <v>0</v>
      </c>
      <c r="BJ12" s="345">
        <f t="shared" si="10"/>
        <v>0</v>
      </c>
      <c r="BK12" s="358">
        <f t="shared" si="11"/>
        <v>0</v>
      </c>
      <c r="BM12" s="337">
        <v>70</v>
      </c>
      <c r="BN12" s="343">
        <f>IFERROR(VLOOKUP(BM12,'Aktuelle Einnahmen'!A12:G108,3,0),"")</f>
        <v>0</v>
      </c>
      <c r="BO12" s="775">
        <f>IFERROR(VLOOKUP(BM12,'Aktuelle Einnahmen'!A12:G108,4,0),"")</f>
        <v>0</v>
      </c>
      <c r="BP12" s="345">
        <f t="shared" si="12"/>
        <v>0</v>
      </c>
      <c r="BQ12" s="345">
        <f t="shared" si="13"/>
        <v>0</v>
      </c>
      <c r="BR12" s="345">
        <f t="shared" si="14"/>
        <v>0</v>
      </c>
      <c r="BS12" s="358">
        <f t="shared" si="15"/>
        <v>0</v>
      </c>
      <c r="BT12" s="335"/>
      <c r="BU12" s="335"/>
      <c r="BV12" s="335"/>
      <c r="BW12" s="335"/>
      <c r="BX12" s="335"/>
      <c r="BY12" s="335"/>
      <c r="BZ12" s="335"/>
      <c r="CA12" s="335"/>
      <c r="CB12" s="335"/>
      <c r="CC12" s="335"/>
      <c r="CD12" s="335"/>
      <c r="CE12" s="335"/>
      <c r="CF12" s="335"/>
      <c r="CG12" s="335"/>
      <c r="CH12" s="335"/>
      <c r="CI12" s="335"/>
    </row>
    <row r="13" spans="1:87" ht="22.25" customHeight="1">
      <c r="A13" s="181">
        <f t="shared" si="3"/>
        <v>45292</v>
      </c>
      <c r="B13" s="491">
        <f>MONTH(I10)</f>
        <v>1</v>
      </c>
      <c r="C13" s="489" t="s">
        <v>158</v>
      </c>
      <c r="D13" s="525">
        <f>D11+1</f>
        <v>17</v>
      </c>
      <c r="E13" s="211">
        <f>DATE(YEAR(E12),MONTH(E12),DAY(E12)+1)</f>
        <v>45296</v>
      </c>
      <c r="F13" s="212">
        <f t="shared" si="16"/>
        <v>5</v>
      </c>
      <c r="G13" s="213">
        <f t="shared" si="17"/>
        <v>1</v>
      </c>
      <c r="H13" s="212">
        <f t="shared" si="18"/>
        <v>2024</v>
      </c>
      <c r="I13" s="214" t="str">
        <f>IF(D10&lt;&gt;0,"-1T","")</f>
        <v>-1T</v>
      </c>
      <c r="J13" s="215">
        <f>DATE($B15,I14,$B11)</f>
        <v>45203</v>
      </c>
      <c r="K13" s="506" t="str">
        <f>K11</f>
        <v>+§10</v>
      </c>
      <c r="L13" s="470"/>
      <c r="M13" s="473" t="str">
        <f ca="1">SUM(J10-E14)&amp;" Tage"</f>
        <v>89 Tage</v>
      </c>
      <c r="N13" s="216"/>
      <c r="O13" s="217"/>
      <c r="P13" s="188"/>
      <c r="Q13" s="217"/>
      <c r="R13" s="189"/>
      <c r="S13" s="190"/>
      <c r="T13" s="190"/>
      <c r="U13" s="191"/>
      <c r="V13" s="192"/>
      <c r="W13" s="190"/>
      <c r="X13" s="190"/>
      <c r="Y13" s="191"/>
      <c r="Z13" s="192"/>
      <c r="AA13" s="190"/>
      <c r="AB13" s="190"/>
      <c r="AC13" s="191"/>
      <c r="AD13" s="192"/>
      <c r="AE13" s="190"/>
      <c r="AF13" s="190"/>
      <c r="AG13" s="191"/>
      <c r="AH13" s="193"/>
      <c r="AI13" s="190"/>
      <c r="AJ13" s="190"/>
      <c r="AK13" s="374"/>
      <c r="AL13" s="348"/>
      <c r="AM13" s="354"/>
      <c r="AN13" s="354"/>
      <c r="AO13" s="354"/>
      <c r="AP13" s="354"/>
      <c r="AQ13" s="350"/>
      <c r="AR13" s="769"/>
      <c r="AS13" s="769"/>
      <c r="AT13" s="769"/>
      <c r="AW13" s="339">
        <v>5</v>
      </c>
      <c r="AX13" s="341" t="str">
        <f>IFERROR(VLOOKUP(AW13,'Aktuelle Einnahmen'!A6:G105,3,0),"")</f>
        <v>Evians</v>
      </c>
      <c r="AY13" s="777" t="str">
        <f>IFERROR(VLOOKUP(AW13,'Aktuelle Einnahmen'!A6:G108,4,0),"")</f>
        <v>10 XVII / 1020/17 E</v>
      </c>
      <c r="AZ13" s="345">
        <f t="shared" si="4"/>
        <v>0</v>
      </c>
      <c r="BA13" s="345">
        <f t="shared" si="5"/>
        <v>0</v>
      </c>
      <c r="BB13" s="345">
        <f t="shared" si="6"/>
        <v>0</v>
      </c>
      <c r="BC13" s="358">
        <f t="shared" si="7"/>
        <v>0</v>
      </c>
      <c r="BD13" s="1299"/>
      <c r="BE13" s="339">
        <v>38</v>
      </c>
      <c r="BF13" s="341">
        <f>IFERROR(VLOOKUP(BE13,'Aktuelle Einnahmen'!A13:G109,3,0),"")</f>
        <v>0</v>
      </c>
      <c r="BG13" s="777">
        <f>IFERROR(VLOOKUP(BE13,'Aktuelle Einnahmen'!A13:G109,4,0),"")</f>
        <v>0</v>
      </c>
      <c r="BH13" s="345">
        <f t="shared" si="8"/>
        <v>0</v>
      </c>
      <c r="BI13" s="345">
        <f t="shared" si="9"/>
        <v>0</v>
      </c>
      <c r="BJ13" s="345">
        <f t="shared" si="10"/>
        <v>0</v>
      </c>
      <c r="BK13" s="358">
        <f t="shared" si="11"/>
        <v>0</v>
      </c>
      <c r="BM13" s="337">
        <v>71</v>
      </c>
      <c r="BN13" s="343">
        <f>IFERROR(VLOOKUP(BM13,'Aktuelle Einnahmen'!A13:G109,3,0),"")</f>
        <v>0</v>
      </c>
      <c r="BO13" s="775">
        <f>IFERROR(VLOOKUP(BM13,'Aktuelle Einnahmen'!A13:G109,4,0),"")</f>
        <v>0</v>
      </c>
      <c r="BP13" s="345">
        <f t="shared" si="12"/>
        <v>0</v>
      </c>
      <c r="BQ13" s="345">
        <f t="shared" si="13"/>
        <v>0</v>
      </c>
      <c r="BR13" s="345">
        <f t="shared" si="14"/>
        <v>0</v>
      </c>
      <c r="BS13" s="358">
        <f t="shared" si="15"/>
        <v>0</v>
      </c>
      <c r="BT13" s="335"/>
      <c r="BU13" s="335"/>
      <c r="BV13" s="335"/>
      <c r="BW13" s="335"/>
      <c r="BX13" s="335"/>
      <c r="BY13" s="335"/>
      <c r="BZ13" s="335"/>
      <c r="CA13" s="335"/>
      <c r="CB13" s="335"/>
      <c r="CC13" s="335"/>
      <c r="CD13" s="335"/>
      <c r="CE13" s="335"/>
      <c r="CF13" s="335"/>
      <c r="CG13" s="335"/>
      <c r="CH13" s="335"/>
      <c r="CI13" s="335"/>
    </row>
    <row r="14" spans="1:87" ht="22.25" customHeight="1">
      <c r="A14" s="181">
        <f t="shared" si="3"/>
        <v>45292</v>
      </c>
      <c r="B14" s="492"/>
      <c r="C14" s="490"/>
      <c r="D14" s="526"/>
      <c r="E14" s="218">
        <f>DATE(YEAR(E13),MONTH(E13)+3,DAY(E13)-1)</f>
        <v>45386</v>
      </c>
      <c r="F14" s="212">
        <f t="shared" si="16"/>
        <v>4</v>
      </c>
      <c r="G14" s="213">
        <f t="shared" si="17"/>
        <v>4</v>
      </c>
      <c r="H14" s="212">
        <f t="shared" si="18"/>
        <v>2024</v>
      </c>
      <c r="I14" s="219">
        <f>MAX(I15:I18)</f>
        <v>10</v>
      </c>
      <c r="J14" s="220">
        <f>DATE(YEAR(J13)+1,MONTH(J13),DAY(J13))</f>
        <v>45569</v>
      </c>
      <c r="K14" s="501" t="str">
        <f t="shared" ref="K14:K77" si="19">K12</f>
        <v>+Inflat.-P</v>
      </c>
      <c r="L14" s="508">
        <f>IF(M9="Stufe A",IF(AND(L10="Auswahl treffen",D13&gt;=0,D13&lt;=1000),J9,IF(AND(L10="Vermögend und ambulant",D13&gt;8,D13&lt;=1000),130,IF(AND(L10="Vermögend und ambulant",D13&gt;4,D13&lt;=8),158,IF(AND(L10="Vermögend und ambulant",D13&gt;2,D13&lt;=4),192,IF(AND(L10="Vermögend und ambulant",D13&gt;1,D13&lt;=2),208,IF(AND(L10="Vermögend und ambulant",D13&gt;0,D13&lt;=1),298,IF(AND(L10="Vermögend und stationär",D13&gt;8,D13&lt;=1000),78,IF(AND(L10="Vermögend und stationär",D13&gt;4,D13&lt;=8),91,IF(AND(L10="Vermögend und stationär",D13&gt;2,D13&lt;=4),140,IF(AND(L10="Vermögend und stationär",D13&gt;1,D13&lt;=2),158,IF(AND(L10="Vermögend und stationär",D13&gt;0,D13&lt;=1),200,IF(AND(L10="Mittellos und ambulant",D13&gt;8,D13&lt;=1000),105,IF(AND(L10="Mittellos und ambulant",D13&gt;4,D13&lt;=8),122,IF(AND(L10="Mittellos und ambulant",D13&gt;2,D13&lt;=4),151,IF(AND(L10="Mittellos und ambulant",D13&gt;1,D13&lt;=2),170,IF(AND(L10="Mittellos und ambulant",D13&gt;0,D13&lt;=1),208,IF(AND(L10="Mittellos und stationär",D13&gt;8,D13&lt;=1000),62,IF(AND(L10="Mittellos und stationär",D13&gt;4,D13&lt;=8),87,IF(AND(L10="Mittellos und stationär",D13&gt;2,D13&lt;=4),124,IF(AND(L10="Mittellos und stationär",D13&gt;1,D13&lt;=2),129,IF(AND(L10="Mittellos und stationär",D13&gt;0,D13&lt;=1),194,""))))))))))))))))))))),IF(M9="Stufe B",IF(AND(L10="Auswahl treffen",D13&gt;=0,D13&lt;=1000),J9,IF(AND(L10="Vermögend und ambulant",D13&gt;8,D13&lt;=1000),161,IF(AND(L10="Vermögend und ambulant",D13&gt;4,D13&lt;=8),196,IF(AND(L10="Vermögend und ambulant",D13&gt;2,D13&lt;=4),238,IF(AND(L10="Vermögend und ambulant",D13&gt;1,D13&lt;=2),258,IF(AND(L10="Vermögend und ambulant",D13&gt;0,D13&lt;=1),370,IF(AND(L10="Vermögend und stationär",D13&gt;8,D13&lt;=1000),96,IF(AND(L10="Vermögend und stationär",D13&gt;4,D13&lt;=8),113,IF(AND(L10="Vermögend und stationär",D13&gt;2,D13&lt;=4),174,IF(AND(L10="Vermögend und stationär",D13&gt;1,D13&lt;=2),196,IF(AND(L10="Vermögend und stationär",D13&gt;0,D13&lt;=1),249,IF(AND(L10="Mittellos und ambulant",D13&gt;8,D13&lt;=1000),130,IF(AND(L10="Mittellos und ambulant",D13&gt;4,D13&lt;=8),151,IF(AND(L10="Mittellos und ambulant",D13&gt;2,D13&lt;=4),188,IF(AND(L10="Mittellos und ambulant",D13&gt;1,D13&lt;=2),211,IF(AND(L10="Mittellos und ambulant",D13&gt;0,D13&lt;=1),258,IF(AND(L10="Mittellos und stationär",D13&gt;8,D13&lt;=1000),78,IF(AND(L10="Mittellos und stationär",D13&gt;4,D13&lt;=8),107,IF(AND(L10="Mittellos und stationär",D13&gt;2,D13&lt;=4),154,IF(AND(L10="Mittellos und stationär",D13&gt;1,D13&lt;=2),158,IF(AND(L10="Mittellos und stationär",D13&gt;0,D13&lt;=1),241,""))))))))))))))))))))),IF(M9="Stufe C",IF(AND(L10="Auswahl treffen",D13&gt;=0,D13&lt;=1000),J9,IF(AND(L10="Vermögend und ambulant",D13&gt;8,D13&lt;=1000),211,IF(AND(L10="Vermögend und ambulant",D13&gt;4,D13&lt;=8),257,IF(AND(L10="Vermögend und ambulant",D13&gt;2,D13&lt;=4),312,IF(AND(L10="Vermögend und ambulant",D13&gt;1,D13&lt;=2),339,IF(AND(L10="Vermögend und ambulant",D13&gt;0,D13&lt;=1),486,IF(AND(L10="Vermögend und stationär",D13&gt;8,D13&lt;=1000),127,IF(AND(L10="Vermögend und stationär",D13&gt;4,D13&lt;=8),149,IF(AND(L10="Vermögend und stationär",D13&gt;2,D13&lt;=4),229,IF(AND(L10="Vermögend und stationär",D13&gt;1,D13&lt;=2),257,IF(AND(L10="Vermögend und stationär",D13&gt;0,D13&lt;=1),327,IF(AND(L10="Mittellos und ambulant",D13&gt;8,D13&lt;=1000),171,IF(AND(L10="Mittellos und ambulant",D13&gt;4,D13&lt;=8),198,IF(AND(L10="Mittellos und ambulant",D13&gt;2,D13&lt;=4),246,IF(AND(L10="Mittellos und ambulant",D13&gt;1,D13&lt;=2),277,IF(AND(L10="Mittellos und ambulant",D13&gt;0,D13&lt;=1),339,IF(AND(L10="Mittellos und stationär",D13&gt;8,D13&lt;=1000),102,IF(AND(L10="Mittellos und stationär",D13&gt;4,D13&lt;=8),141,IF(AND(L10="Mittellos und stationär",D13&gt;2,D13&lt;=4),202,IF(AND(L10="Mittellos und stationär",D13&gt;1,D13&lt;=2),208,IF(AND(L10="Mittellos und stationär",D13&gt;0,D13&lt;=1),317,""))))))))))))))))))))),"")))*3+(J9*90)</f>
        <v>381</v>
      </c>
      <c r="M14" s="507" t="str">
        <f>CONCATENATE(K14, K13)</f>
        <v>+Inflat.-P+§10</v>
      </c>
      <c r="N14" s="216"/>
      <c r="O14" s="188" t="s">
        <v>118</v>
      </c>
      <c r="P14" s="188"/>
      <c r="Q14" s="221"/>
      <c r="R14" s="199"/>
      <c r="S14" s="190"/>
      <c r="T14" s="190"/>
      <c r="U14" s="191"/>
      <c r="V14" s="192"/>
      <c r="W14" s="190" t="s">
        <v>118</v>
      </c>
      <c r="X14" s="222" t="s">
        <v>117</v>
      </c>
      <c r="Y14" s="191" t="s">
        <v>26</v>
      </c>
      <c r="Z14" s="192"/>
      <c r="AA14" s="190"/>
      <c r="AB14" s="190"/>
      <c r="AC14" s="191"/>
      <c r="AD14" s="192"/>
      <c r="AE14" s="190"/>
      <c r="AF14" s="190"/>
      <c r="AG14" s="191"/>
      <c r="AH14" s="193"/>
      <c r="AI14" s="190"/>
      <c r="AJ14" s="190"/>
      <c r="AK14" s="374"/>
      <c r="AL14" s="348" t="s">
        <v>149</v>
      </c>
      <c r="AM14" s="354"/>
      <c r="AN14" s="354">
        <f>IF(SUM(O10:O18)=SUM(W10:W18), 0, SUM(O10:O18)-SUM(W10:W18))</f>
        <v>0</v>
      </c>
      <c r="AO14" s="354"/>
      <c r="AP14" s="354"/>
      <c r="AQ14" s="350">
        <f>AM14+AN14+AO14+AP14</f>
        <v>0</v>
      </c>
      <c r="AR14" s="769"/>
      <c r="AS14" s="769"/>
      <c r="AT14" s="769"/>
      <c r="AW14" s="339">
        <v>6</v>
      </c>
      <c r="AX14" s="341" t="str">
        <f>IFERROR(VLOOKUP(AW14,'Aktuelle Einnahmen'!A7:G105,3,0),"")</f>
        <v>Fischer</v>
      </c>
      <c r="AY14" s="777" t="str">
        <f>IFERROR(VLOOKUP(AW14,'Aktuelle Einnahmen'!A7:G109,4,0),"")</f>
        <v xml:space="preserve">10 XVII 1145 / 18 F </v>
      </c>
      <c r="AZ14" s="345">
        <f t="shared" si="4"/>
        <v>0</v>
      </c>
      <c r="BA14" s="345">
        <f t="shared" si="5"/>
        <v>0</v>
      </c>
      <c r="BB14" s="345">
        <f t="shared" si="6"/>
        <v>0</v>
      </c>
      <c r="BC14" s="358">
        <f t="shared" si="7"/>
        <v>0</v>
      </c>
      <c r="BD14" s="1299"/>
      <c r="BE14" s="339">
        <v>39</v>
      </c>
      <c r="BF14" s="341">
        <f>IFERROR(VLOOKUP(BE14,'Aktuelle Einnahmen'!A14:G110,3,0),"")</f>
        <v>0</v>
      </c>
      <c r="BG14" s="777">
        <f>IFERROR(VLOOKUP(BE14,'Aktuelle Einnahmen'!A14:G110,4,0),"")</f>
        <v>0</v>
      </c>
      <c r="BH14" s="345">
        <f t="shared" si="8"/>
        <v>0</v>
      </c>
      <c r="BI14" s="345">
        <f t="shared" si="9"/>
        <v>0</v>
      </c>
      <c r="BJ14" s="345">
        <f t="shared" si="10"/>
        <v>0</v>
      </c>
      <c r="BK14" s="358">
        <f t="shared" si="11"/>
        <v>0</v>
      </c>
      <c r="BM14" s="337">
        <v>72</v>
      </c>
      <c r="BN14" s="343">
        <f>IFERROR(VLOOKUP(BM14,'Aktuelle Einnahmen'!A14:G110,3,0),"")</f>
        <v>0</v>
      </c>
      <c r="BO14" s="775">
        <f>IFERROR(VLOOKUP(BM14,'Aktuelle Einnahmen'!A14:G110,4,0),"")</f>
        <v>0</v>
      </c>
      <c r="BP14" s="345">
        <f t="shared" si="12"/>
        <v>0</v>
      </c>
      <c r="BQ14" s="345">
        <f t="shared" si="13"/>
        <v>0</v>
      </c>
      <c r="BR14" s="345">
        <f t="shared" si="14"/>
        <v>0</v>
      </c>
      <c r="BS14" s="358">
        <f t="shared" si="15"/>
        <v>0</v>
      </c>
      <c r="BT14" s="335"/>
      <c r="BU14" s="335"/>
      <c r="BV14" s="335"/>
      <c r="BW14" s="335"/>
      <c r="BX14" s="335"/>
      <c r="BY14" s="335"/>
      <c r="BZ14" s="335"/>
      <c r="CA14" s="335"/>
      <c r="CB14" s="335"/>
      <c r="CC14" s="335"/>
      <c r="CD14" s="335"/>
      <c r="CE14" s="335"/>
      <c r="CF14" s="335"/>
      <c r="CG14" s="335"/>
      <c r="CH14" s="335"/>
      <c r="CI14" s="335"/>
    </row>
    <row r="15" spans="1:87" ht="22.25" customHeight="1">
      <c r="A15" s="181">
        <f t="shared" si="3"/>
        <v>45292</v>
      </c>
      <c r="B15" s="491">
        <f>YEAR($A16)-1</f>
        <v>2023</v>
      </c>
      <c r="C15" s="489" t="s">
        <v>158</v>
      </c>
      <c r="D15" s="523">
        <f>D13+1</f>
        <v>18</v>
      </c>
      <c r="E15" s="194">
        <f>DATE(YEAR(E14),MONTH(E14),DAY(E14)+1)</f>
        <v>45387</v>
      </c>
      <c r="F15" s="195">
        <f t="shared" si="16"/>
        <v>5</v>
      </c>
      <c r="G15" s="196">
        <f t="shared" si="17"/>
        <v>4</v>
      </c>
      <c r="H15" s="195">
        <f t="shared" si="18"/>
        <v>2024</v>
      </c>
      <c r="I15" s="223">
        <f>IF(J17&lt;13,J17,"")</f>
        <v>10</v>
      </c>
      <c r="J15" s="224">
        <f>G10</f>
        <v>1</v>
      </c>
      <c r="K15" s="506" t="str">
        <f t="shared" si="19"/>
        <v>+§10</v>
      </c>
      <c r="L15" s="471"/>
      <c r="M15" s="473" t="str">
        <f ca="1">SUM(J10-E16)&amp;" Tage"</f>
        <v>-2 Tage</v>
      </c>
      <c r="N15" s="200"/>
      <c r="O15" s="201"/>
      <c r="P15" s="201"/>
      <c r="Q15" s="202"/>
      <c r="R15" s="189"/>
      <c r="S15" s="203"/>
      <c r="T15" s="203"/>
      <c r="U15" s="204"/>
      <c r="V15" s="192"/>
      <c r="W15" s="209"/>
      <c r="X15" s="209"/>
      <c r="Y15" s="204"/>
      <c r="Z15" s="192"/>
      <c r="AA15" s="209"/>
      <c r="AB15" s="209"/>
      <c r="AC15" s="204"/>
      <c r="AD15" s="192"/>
      <c r="AE15" s="203"/>
      <c r="AF15" s="203"/>
      <c r="AG15" s="204"/>
      <c r="AH15" s="193"/>
      <c r="AI15" s="203"/>
      <c r="AJ15" s="203"/>
      <c r="AK15" s="375"/>
      <c r="AL15" s="348"/>
      <c r="AM15" s="354"/>
      <c r="AN15" s="354"/>
      <c r="AO15" s="354"/>
      <c r="AP15" s="354"/>
      <c r="AQ15" s="350"/>
      <c r="AR15" s="769"/>
      <c r="AS15" s="769"/>
      <c r="AT15" s="769"/>
      <c r="AW15" s="339">
        <v>7</v>
      </c>
      <c r="AX15" s="341" t="str">
        <f>IFERROR(VLOOKUP(AW15,'Aktuelle Einnahmen'!A8:G105,3,0),"")</f>
        <v>Gracia</v>
      </c>
      <c r="AY15" s="777" t="str">
        <f>IFERROR(VLOOKUP(AW15,'Aktuelle Einnahmen'!A8:G110,4,0),"")</f>
        <v xml:space="preserve">10 XVII 369 / 18 G </v>
      </c>
      <c r="AZ15" s="345">
        <f t="shared" si="4"/>
        <v>0</v>
      </c>
      <c r="BA15" s="345">
        <f t="shared" si="5"/>
        <v>0</v>
      </c>
      <c r="BB15" s="345">
        <f t="shared" si="6"/>
        <v>0</v>
      </c>
      <c r="BC15" s="358">
        <f t="shared" si="7"/>
        <v>0</v>
      </c>
      <c r="BD15" s="1299"/>
      <c r="BE15" s="339">
        <v>40</v>
      </c>
      <c r="BF15" s="341">
        <f>IFERROR(VLOOKUP(BE15,'Aktuelle Einnahmen'!A15:G111,3,0),"")</f>
        <v>0</v>
      </c>
      <c r="BG15" s="777">
        <f>IFERROR(VLOOKUP(BE15,'Aktuelle Einnahmen'!A15:G111,4,0),"")</f>
        <v>0</v>
      </c>
      <c r="BH15" s="345">
        <f t="shared" si="8"/>
        <v>0</v>
      </c>
      <c r="BI15" s="345">
        <f t="shared" si="9"/>
        <v>0</v>
      </c>
      <c r="BJ15" s="345">
        <f t="shared" si="10"/>
        <v>0</v>
      </c>
      <c r="BK15" s="358">
        <f t="shared" si="11"/>
        <v>0</v>
      </c>
      <c r="BM15" s="337">
        <v>73</v>
      </c>
      <c r="BN15" s="343">
        <f>IFERROR(VLOOKUP(BM15,'Aktuelle Einnahmen'!A15:G111,3,0),"")</f>
        <v>0</v>
      </c>
      <c r="BO15" s="775">
        <f>IFERROR(VLOOKUP(BM15,'Aktuelle Einnahmen'!A15:G111,4,0),"")</f>
        <v>0</v>
      </c>
      <c r="BP15" s="345">
        <f t="shared" si="12"/>
        <v>0</v>
      </c>
      <c r="BQ15" s="345">
        <f t="shared" si="13"/>
        <v>0</v>
      </c>
      <c r="BR15" s="345">
        <f t="shared" si="14"/>
        <v>0</v>
      </c>
      <c r="BS15" s="358">
        <f t="shared" si="15"/>
        <v>0</v>
      </c>
      <c r="BT15" s="335"/>
      <c r="BU15" s="335"/>
      <c r="BV15" s="335"/>
      <c r="BW15" s="335"/>
      <c r="BX15" s="335"/>
      <c r="BY15" s="335"/>
      <c r="BZ15" s="335"/>
      <c r="CA15" s="335"/>
      <c r="CB15" s="335"/>
      <c r="CC15" s="335"/>
      <c r="CD15" s="335"/>
      <c r="CE15" s="335"/>
      <c r="CF15" s="335"/>
      <c r="CG15" s="335"/>
      <c r="CH15" s="335"/>
      <c r="CI15" s="335"/>
    </row>
    <row r="16" spans="1:87" ht="22.25" customHeight="1">
      <c r="A16" s="181">
        <f t="shared" si="3"/>
        <v>45292</v>
      </c>
      <c r="B16" s="492"/>
      <c r="C16" s="490"/>
      <c r="D16" s="524"/>
      <c r="E16" s="194">
        <f>DATE(YEAR(E15),MONTH(E15)+3,DAY(E15)-1)</f>
        <v>45477</v>
      </c>
      <c r="F16" s="195">
        <f t="shared" si="16"/>
        <v>4</v>
      </c>
      <c r="G16" s="196">
        <f t="shared" si="17"/>
        <v>7</v>
      </c>
      <c r="H16" s="195">
        <f t="shared" si="18"/>
        <v>2024</v>
      </c>
      <c r="I16" s="225">
        <f>IF(J18&lt;13,J18,"")</f>
        <v>7</v>
      </c>
      <c r="J16" s="224">
        <f>J15+3</f>
        <v>4</v>
      </c>
      <c r="K16" s="501" t="str">
        <f t="shared" si="19"/>
        <v>+Inflat.-P</v>
      </c>
      <c r="L16" s="511">
        <f>IF(M9="Stufe A",IF(AND(L10="Auswahl treffen",D15&gt;=0,D15&lt;=1000),J9,IF(AND(L10="Vermögend und ambulant",D15&gt;8,D15&lt;=1000),130,IF(AND(L10="Vermögend und ambulant",D15&gt;4,D15&lt;=8),158,IF(AND(L10="Vermögend und ambulant",D15&gt;2,D15&lt;=4),192,IF(AND(L10="Vermögend und ambulant",D15&gt;1,D15&lt;=2),208,IF(AND(L10="Vermögend und ambulant",D15&gt;0,D15&lt;=1),298,IF(AND(L10="Vermögend und stationär",D15&gt;8,D15&lt;=1000),78,IF(AND(L10="Vermögend und stationär",D15&gt;4,D15&lt;=8),91,IF(AND(L10="Vermögend und stationär",D15&gt;2,D15&lt;=4),140,IF(AND(L10="Vermögend und stationär",D15&gt;1,D15&lt;=2),158,IF(AND(L10="Vermögend und stationär",D15&gt;0,D15&lt;=1),200,IF(AND(L10="Mittellos und ambulant",D15&gt;8,D15&lt;=1000),105,IF(AND(L10="Mittellos und ambulant",D15&gt;4,D15&lt;=8),122,IF(AND(L10="Mittellos und ambulant",D15&gt;2,D15&lt;=4),151,IF(AND(L10="Mittellos und ambulant",D15&gt;1,D15&lt;=2),170,IF(AND(L10="Mittellos und ambulant",D15&gt;0,D15&lt;=1),208,IF(AND(L10="Mittellos und stationär",D15&gt;8,D15&lt;=1000),62,IF(AND(L10="Mittellos und stationär",D15&gt;4,D15&lt;=8),87,IF(AND(L10="Mittellos und stationär",D15&gt;2,D15&lt;=4),124,IF(AND(L10="Mittellos und stationär",D15&gt;1,D15&lt;=2),129,IF(AND(L10="Mittellos und stationär",D15&gt;0,D15&lt;=1),194,""))))))))))))))))))))),IF(M9="Stufe B",IF(AND(L10="Auswahl treffen",D15&gt;=0,D15&lt;=1000),J9,IF(AND(L10="Vermögend und ambulant",D15&gt;8,D15&lt;=1000),161,IF(AND(L10="Vermögend und ambulant",D15&gt;4,D15&lt;=8),196,IF(AND(L10="Vermögend und ambulant",D15&gt;2,D15&lt;=4),238,IF(AND(L10="Vermögend und ambulant",D15&gt;1,D15&lt;=2),258,IF(AND(L10="Vermögend und ambulant",D15&gt;0,D15&lt;=1),370,IF(AND(L10="Vermögend und stationär",D15&gt;8,D15&lt;=1000),96,IF(AND(L10="Vermögend und stationär",D15&gt;4,D15&lt;=8),113,IF(AND(L10="Vermögend und stationär",D15&gt;2,D15&lt;=4),174,IF(AND(L10="Vermögend und stationär",D15&gt;1,D15&lt;=2),196,IF(AND(L10="Vermögend und stationär",D15&gt;0,D15&lt;=1),249,IF(AND(L10="Mittellos und ambulant",D15&gt;8,D15&lt;=1000),130,IF(AND(L10="Mittellos und ambulant",D15&gt;4,D15&lt;=8),151,IF(AND(L10="Mittellos und ambulant",D15&gt;2,D15&lt;=4),188,IF(AND(L10="Mittellos und ambulant",D15&gt;1,D15&lt;=2),211,IF(AND(L10="Mittellos und ambulant",D15&gt;0,D15&lt;=1),258,IF(AND(L10="Mittellos und stationär",D15&gt;8,D15&lt;=1000),78,IF(AND(L10="Mittellos und stationär",D15&gt;4,D15&lt;=8),107,IF(AND(L10="Mittellos und stationär",D15&gt;2,D15&lt;=4),154,IF(AND(L10="Mittellos und stationär",D15&gt;1,D15&lt;=2),158,IF(AND(L10="Mittellos und stationär",D15&gt;0,D15&lt;=1),241,""))))))))))))))))))))),IF(M9="Stufe C",IF(AND(L10="Auswahl treffen",D15&gt;=0,D15&lt;=1000),J9,IF(AND(L10="Vermögend und ambulant",D15&gt;8,D15&lt;=1000),211,IF(AND(L10="Vermögend und ambulant",D15&gt;4,D15&lt;=8),257,IF(AND(L10="Vermögend und ambulant",D15&gt;2,D15&lt;=4),312,IF(AND(L10="Vermögend und ambulant",D15&gt;1,D15&lt;=2),339,IF(AND(L10="Vermögend und ambulant",D15&gt;0,D15&lt;=1),486,IF(AND(L10="Vermögend und stationär",D15&gt;8,D15&lt;=1000),127,IF(AND(L10="Vermögend und stationär",D15&gt;4,D15&lt;=8),149,IF(AND(L10="Vermögend und stationär",D15&gt;2,D15&lt;=4),229,IF(AND(L10="Vermögend und stationär",D15&gt;1,D15&lt;=2),257,IF(AND(L10="Vermögend und stationär",D15&gt;0,D15&lt;=1),327,IF(AND(L10="Mittellos und ambulant",D15&gt;8,D15&lt;=1000),171,IF(AND(L10="Mittellos und ambulant",D15&gt;4,D15&lt;=8),198,IF(AND(L10="Mittellos und ambulant",D15&gt;2,D15&lt;=4),246,IF(AND(L10="Mittellos und ambulant",D15&gt;1,D15&lt;=2),277,IF(AND(L10="Mittellos und ambulant",D15&gt;0,D15&lt;=1),339,IF(AND(L10="Mittellos und stationär",D15&gt;8,D15&lt;=1000),102,IF(AND(L10="Mittellos und stationär",D15&gt;4,D15&lt;=8),141,IF(AND(L10="Mittellos und stationär",D15&gt;2,D15&lt;=4),202,IF(AND(L10="Mittellos und stationär",D15&gt;1,D15&lt;=2),208,IF(AND(L10="Mittellos und stationär",D15&gt;0,D15&lt;=1),317,""))))))))))))))))))))),"")))*3+(J9*90)</f>
        <v>381</v>
      </c>
      <c r="M16" s="507" t="str">
        <f>CONCATENATE(K16, K15)</f>
        <v>+Inflat.-P+§10</v>
      </c>
      <c r="N16" s="206"/>
      <c r="O16" s="207"/>
      <c r="P16" s="206" t="s">
        <v>118</v>
      </c>
      <c r="Q16" s="226"/>
      <c r="R16" s="189"/>
      <c r="S16" s="203"/>
      <c r="T16" s="203"/>
      <c r="U16" s="204"/>
      <c r="V16" s="192"/>
      <c r="W16" s="203"/>
      <c r="X16" s="203"/>
      <c r="Y16" s="204"/>
      <c r="Z16" s="192"/>
      <c r="AA16" s="209" t="s">
        <v>118</v>
      </c>
      <c r="AB16" s="209" t="s">
        <v>117</v>
      </c>
      <c r="AC16" s="204" t="s">
        <v>26</v>
      </c>
      <c r="AD16" s="192"/>
      <c r="AE16" s="209"/>
      <c r="AF16" s="209"/>
      <c r="AG16" s="204"/>
      <c r="AH16" s="193"/>
      <c r="AI16" s="203"/>
      <c r="AJ16" s="203"/>
      <c r="AK16" s="375"/>
      <c r="AL16" s="348" t="s">
        <v>150</v>
      </c>
      <c r="AM16" s="354"/>
      <c r="AN16" s="354"/>
      <c r="AO16" s="354">
        <f>IF(SUM(P10:P18)=SUM(AA10:AA18), 0, SUM(P10:P18)-SUM(AA10:AA18))</f>
        <v>0</v>
      </c>
      <c r="AP16" s="354"/>
      <c r="AQ16" s="350">
        <f>AM16+AN16+AO16+AP16</f>
        <v>0</v>
      </c>
      <c r="AR16" s="769"/>
      <c r="AS16" s="769"/>
      <c r="AT16" s="769"/>
      <c r="AW16" s="339">
        <v>8</v>
      </c>
      <c r="AX16" s="341" t="str">
        <f>IFERROR(VLOOKUP(AW16,'Aktuelle Einnahmen'!A9:G105,3,0),"")</f>
        <v>Harris</v>
      </c>
      <c r="AY16" s="777" t="str">
        <f>IFERROR(VLOOKUP(AW16,'Aktuelle Einnahmen'!A9:G111,4,0),"")</f>
        <v>2 XVII 93 / 19 H</v>
      </c>
      <c r="AZ16" s="345">
        <f t="shared" si="4"/>
        <v>0</v>
      </c>
      <c r="BA16" s="345">
        <f t="shared" si="5"/>
        <v>0</v>
      </c>
      <c r="BB16" s="345">
        <f t="shared" si="6"/>
        <v>0</v>
      </c>
      <c r="BC16" s="358">
        <f t="shared" si="7"/>
        <v>0</v>
      </c>
      <c r="BD16" s="1299"/>
      <c r="BE16" s="339">
        <v>41</v>
      </c>
      <c r="BF16" s="341">
        <f>IFERROR(VLOOKUP(BE16,'Aktuelle Einnahmen'!A16:G112,3,0),"")</f>
        <v>0</v>
      </c>
      <c r="BG16" s="777">
        <f>IFERROR(VLOOKUP(BE16,'Aktuelle Einnahmen'!A16:G112,4,0),"")</f>
        <v>0</v>
      </c>
      <c r="BH16" s="345">
        <f t="shared" si="8"/>
        <v>0</v>
      </c>
      <c r="BI16" s="345">
        <f t="shared" si="9"/>
        <v>0</v>
      </c>
      <c r="BJ16" s="345">
        <f t="shared" si="10"/>
        <v>0</v>
      </c>
      <c r="BK16" s="358">
        <f t="shared" si="11"/>
        <v>0</v>
      </c>
      <c r="BM16" s="337">
        <v>74</v>
      </c>
      <c r="BN16" s="343">
        <f>IFERROR(VLOOKUP(BM16,'Aktuelle Einnahmen'!A16:G112,3,0),"")</f>
        <v>0</v>
      </c>
      <c r="BO16" s="775">
        <f>IFERROR(VLOOKUP(BM16,'Aktuelle Einnahmen'!A16:G112,4,0),"")</f>
        <v>0</v>
      </c>
      <c r="BP16" s="345">
        <f t="shared" si="12"/>
        <v>0</v>
      </c>
      <c r="BQ16" s="345">
        <f t="shared" si="13"/>
        <v>0</v>
      </c>
      <c r="BR16" s="345">
        <f t="shared" si="14"/>
        <v>0</v>
      </c>
      <c r="BS16" s="358">
        <f t="shared" si="15"/>
        <v>0</v>
      </c>
      <c r="BT16" s="335"/>
      <c r="BU16" s="335"/>
      <c r="BV16" s="335"/>
      <c r="BW16" s="335"/>
      <c r="BX16" s="335"/>
      <c r="BY16" s="335"/>
      <c r="BZ16" s="335"/>
      <c r="CA16" s="335"/>
      <c r="CB16" s="335"/>
      <c r="CC16" s="335"/>
      <c r="CD16" s="335"/>
      <c r="CE16" s="335"/>
      <c r="CF16" s="335"/>
      <c r="CG16" s="335"/>
      <c r="CH16" s="335"/>
      <c r="CI16" s="335"/>
    </row>
    <row r="17" spans="1:87" ht="22.25" customHeight="1">
      <c r="A17" s="181">
        <f t="shared" si="3"/>
        <v>45292</v>
      </c>
      <c r="B17" s="493"/>
      <c r="C17" s="489" t="s">
        <v>158</v>
      </c>
      <c r="D17" s="525">
        <f>D15+1</f>
        <v>19</v>
      </c>
      <c r="E17" s="211">
        <f>DATE(YEAR(E16),MONTH(E16),DAY(E16)+1)</f>
        <v>45478</v>
      </c>
      <c r="F17" s="227">
        <f t="shared" si="16"/>
        <v>5</v>
      </c>
      <c r="G17" s="228">
        <f t="shared" si="17"/>
        <v>7</v>
      </c>
      <c r="H17" s="227">
        <f t="shared" si="18"/>
        <v>2024</v>
      </c>
      <c r="I17" s="229">
        <f>IF(J16&lt;13,J16,"")</f>
        <v>4</v>
      </c>
      <c r="J17" s="230">
        <f>J18+3</f>
        <v>10</v>
      </c>
      <c r="K17" s="506" t="str">
        <f t="shared" si="19"/>
        <v>+§10</v>
      </c>
      <c r="L17" s="471"/>
      <c r="M17" s="473" t="str">
        <f ca="1">SUM(J10-E18)&amp;" Tage"</f>
        <v>-94 Tage</v>
      </c>
      <c r="N17" s="216"/>
      <c r="O17" s="188"/>
      <c r="P17" s="188"/>
      <c r="Q17" s="217"/>
      <c r="R17" s="189"/>
      <c r="S17" s="190"/>
      <c r="T17" s="190"/>
      <c r="U17" s="191"/>
      <c r="V17" s="192"/>
      <c r="W17" s="190"/>
      <c r="X17" s="190"/>
      <c r="Y17" s="191"/>
      <c r="Z17" s="192"/>
      <c r="AA17" s="190"/>
      <c r="AB17" s="190"/>
      <c r="AC17" s="191"/>
      <c r="AD17" s="192"/>
      <c r="AE17" s="190"/>
      <c r="AF17" s="190"/>
      <c r="AG17" s="191"/>
      <c r="AH17" s="193"/>
      <c r="AI17" s="190"/>
      <c r="AJ17" s="190"/>
      <c r="AK17" s="374"/>
      <c r="AL17" s="348"/>
      <c r="AM17" s="354"/>
      <c r="AN17" s="354"/>
      <c r="AO17" s="354"/>
      <c r="AP17" s="354"/>
      <c r="AQ17" s="350"/>
      <c r="AR17" s="769"/>
      <c r="AS17" s="769"/>
      <c r="AT17" s="769"/>
      <c r="AW17" s="339">
        <v>9</v>
      </c>
      <c r="AX17" s="341" t="str">
        <f>IFERROR(VLOOKUP(AW17,'Aktuelle Einnahmen'!A10:G106,3,0),"")</f>
        <v>Irving</v>
      </c>
      <c r="AY17" s="777" t="str">
        <f>IFERROR(VLOOKUP(AW17,'Aktuelle Einnahmen'!A10:G112,4,0),"")</f>
        <v>10 XVII 413 / 21 I</v>
      </c>
      <c r="AZ17" s="345">
        <f t="shared" si="4"/>
        <v>0</v>
      </c>
      <c r="BA17" s="345">
        <f t="shared" si="5"/>
        <v>0</v>
      </c>
      <c r="BB17" s="345">
        <f t="shared" si="6"/>
        <v>0</v>
      </c>
      <c r="BC17" s="358">
        <f t="shared" si="7"/>
        <v>0</v>
      </c>
      <c r="BD17" s="1299"/>
      <c r="BE17" s="339">
        <v>42</v>
      </c>
      <c r="BF17" s="341">
        <f>IFERROR(VLOOKUP(BE17,'Aktuelle Einnahmen'!A17:G113,3,0),"")</f>
        <v>0</v>
      </c>
      <c r="BG17" s="777">
        <f>IFERROR(VLOOKUP(BE17,'Aktuelle Einnahmen'!A17:G113,4,0),"")</f>
        <v>0</v>
      </c>
      <c r="BH17" s="345">
        <f t="shared" si="8"/>
        <v>0</v>
      </c>
      <c r="BI17" s="345">
        <f t="shared" si="9"/>
        <v>0</v>
      </c>
      <c r="BJ17" s="345">
        <f t="shared" si="10"/>
        <v>0</v>
      </c>
      <c r="BK17" s="358">
        <f t="shared" si="11"/>
        <v>0</v>
      </c>
      <c r="BM17" s="337">
        <v>75</v>
      </c>
      <c r="BN17" s="343">
        <f>IFERROR(VLOOKUP(BM17,'Aktuelle Einnahmen'!A17:G113,3,0),"")</f>
        <v>0</v>
      </c>
      <c r="BO17" s="775">
        <f>IFERROR(VLOOKUP(BM17,'Aktuelle Einnahmen'!A17:G113,4,0),"")</f>
        <v>0</v>
      </c>
      <c r="BP17" s="345">
        <f t="shared" si="12"/>
        <v>0</v>
      </c>
      <c r="BQ17" s="345">
        <f t="shared" si="13"/>
        <v>0</v>
      </c>
      <c r="BR17" s="345">
        <f t="shared" si="14"/>
        <v>0</v>
      </c>
      <c r="BS17" s="358">
        <f t="shared" si="15"/>
        <v>0</v>
      </c>
      <c r="BT17" s="335"/>
      <c r="BU17" s="335"/>
      <c r="BV17" s="335"/>
      <c r="BW17" s="335"/>
      <c r="BX17" s="335"/>
      <c r="BY17" s="335"/>
      <c r="BZ17" s="335"/>
      <c r="CA17" s="335"/>
      <c r="CB17" s="335"/>
      <c r="CC17" s="335"/>
      <c r="CD17" s="335"/>
      <c r="CE17" s="335"/>
      <c r="CF17" s="335"/>
      <c r="CG17" s="335"/>
      <c r="CH17" s="335"/>
      <c r="CI17" s="335"/>
    </row>
    <row r="18" spans="1:87" ht="22.25" customHeight="1">
      <c r="A18" s="181">
        <f t="shared" si="3"/>
        <v>45292</v>
      </c>
      <c r="B18" s="494"/>
      <c r="C18" s="490"/>
      <c r="D18" s="526"/>
      <c r="E18" s="218">
        <f>DATE(YEAR(E17),MONTH(E17)+3,DAY(E17)-1)</f>
        <v>45569</v>
      </c>
      <c r="F18" s="227">
        <f t="shared" si="16"/>
        <v>4</v>
      </c>
      <c r="G18" s="228">
        <f t="shared" si="17"/>
        <v>10</v>
      </c>
      <c r="H18" s="227">
        <f t="shared" si="18"/>
        <v>2024</v>
      </c>
      <c r="I18" s="231">
        <f>IF(J15&lt;13,J15,"")</f>
        <v>1</v>
      </c>
      <c r="J18" s="230">
        <f>J16+3</f>
        <v>7</v>
      </c>
      <c r="K18" s="501" t="str">
        <f t="shared" si="19"/>
        <v>+Inflat.-P</v>
      </c>
      <c r="L18" s="508">
        <f>IF(M9="Stufe A",IF(AND(L10="Auswahl treffen",D17&gt;=0,D17&lt;=1000),J9,IF(AND(L10="Vermögend und ambulant",D17&gt;8,D17&lt;=1000),130,IF(AND(L10="Vermögend und ambulant",D17&gt;4,D17&lt;=8),158,IF(AND(L10="Vermögend und ambulant",D17&gt;2,D17&lt;=4),192,IF(AND(L10="Vermögend und ambulant",D17&gt;1,D17&lt;=2),208,IF(AND(L10="Vermögend und ambulant",D17&gt;0,D17&lt;=1),298,IF(AND(L10="Vermögend und stationär",D17&gt;8,D17&lt;=1000),78,IF(AND(L10="Vermögend und stationär",D17&gt;4,D17&lt;=8),91,IF(AND(L10="Vermögend und stationär",D17&gt;2,D17&lt;=4),140,IF(AND(L10="Vermögend und stationär",D17&gt;1,D17&lt;=2),158,IF(AND(L10="Vermögend und stationär",D17&gt;0,D17&lt;=1),200,IF(AND(L10="Mittellos und ambulant",D17&gt;8,D17&lt;=1000),105,IF(AND(L10="Mittellos und ambulant",D17&gt;4,D17&lt;=8),122,IF(AND(L10="Mittellos und ambulant",D17&gt;2,D17&lt;=4),151,IF(AND(L10="Mittellos und ambulant",D17&gt;1,D17&lt;=2),170,IF(AND(L10="Mittellos und ambulant",D17&gt;0,D17&lt;=1),208,IF(AND(L10="Mittellos und stationär",D17&gt;8,D17&lt;=1000),62,IF(AND(L10="Mittellos und stationär",D17&gt;4,D17&lt;=8),87,IF(AND(L10="Mittellos und stationär",D17&gt;2,D17&lt;=4),124,IF(AND(L10="Mittellos und stationär",D17&gt;1,D17&lt;=2),129,IF(AND(L10="Mittellos und stationär",D17&gt;0,D17&lt;=1),194,""))))))))))))))))))))),IF(M9="Stufe B",IF(AND(L10="Auswahl treffen",D17&gt;=0,D17&lt;=1000),J9,IF(AND(L10="Vermögend und ambulant",D17&gt;8,D17&lt;=1000),161,IF(AND(L10="Vermögend und ambulant",D17&gt;4,D17&lt;=8),196,IF(AND(L10="Vermögend und ambulant",D17&gt;2,D17&lt;=4),238,IF(AND(L10="Vermögend und ambulant",D17&gt;1,D17&lt;=2),258,IF(AND(L10="Vermögend und ambulant",D17&gt;0,D17&lt;=1),370,IF(AND(L10="Vermögend und stationär",D17&gt;8,D17&lt;=1000),96,IF(AND(L10="Vermögend und stationär",D17&gt;4,D17&lt;=8),113,IF(AND(L10="Vermögend und stationär",D17&gt;2,D17&lt;=4),174,IF(AND(L10="Vermögend und stationär",D17&gt;1,D17&lt;=2),196,IF(AND(L10="Vermögend und stationär",D17&gt;0,D17&lt;=1),249,IF(AND(L10="Mittellos und ambulant",D17&gt;8,D17&lt;=1000),130,IF(AND(L10="Mittellos und ambulant",D17&gt;4,D17&lt;=8),151,IF(AND(L10="Mittellos und ambulant",D17&gt;2,D17&lt;=4),188,IF(AND(L10="Mittellos und ambulant",D17&gt;1,D17&lt;=2),211,IF(AND(L10="Mittellos und ambulant",D17&gt;0,D17&lt;=1),258,IF(AND(L10="Mittellos und stationär",D17&gt;8,D17&lt;=1000),78,IF(AND(L10="Mittellos und stationär",D17&gt;4,D17&lt;=8),107,IF(AND(L10="Mittellos und stationär",D17&gt;2,D17&lt;=4),154,IF(AND(L10="Mittellos und stationär",D17&gt;1,D17&lt;=2),158,IF(AND(L10="Mittellos und stationär",D17&gt;0,D17&lt;=1),241,""))))))))))))))))))))),IF(M9="Stufe C",IF(AND(L10="Auswahl treffen",D17&gt;=0,D17&lt;=1000),J9,IF(AND(L10="Vermögend und ambulant",D17&gt;8,D17&lt;=1000),211,IF(AND(L10="Vermögend und ambulant",D17&gt;4,D17&lt;=8),257,IF(AND(L10="Vermögend und ambulant",D17&gt;2,D17&lt;=4),312,IF(AND(L10="Vermögend und ambulant",D17&gt;1,D17&lt;=2),339,IF(AND(L10="Vermögend und ambulant",D17&gt;0,D17&lt;=1),486,IF(AND(L10="Vermögend und stationär",D17&gt;8,D17&lt;=1000),127,IF(AND(L10="Vermögend und stationär",D17&gt;4,D17&lt;=8),149,IF(AND(L10="Vermögend und stationär",D17&gt;2,D17&lt;=4),229,IF(AND(L10="Vermögend und stationär",D17&gt;1,D17&lt;=2),257,IF(AND(L10="Vermögend und stationär",D17&gt;0,D17&lt;=1),327,IF(AND(L10="Mittellos und ambulant",D17&gt;8,D17&lt;=1000),171,IF(AND(L10="Mittellos und ambulant",D17&gt;4,D17&lt;=8),198,IF(AND(L10="Mittellos und ambulant",D17&gt;2,D17&lt;=4),246,IF(AND(L10="Mittellos und ambulant",D17&gt;1,D17&lt;=2),277,IF(AND(L10="Mittellos und ambulant",D17&gt;0,D17&lt;=1),339,IF(AND(L10="Mittellos und stationär",D17&gt;8,D17&lt;=1000),102,IF(AND(L10="Mittellos und stationär",D17&gt;4,D17&lt;=8),141,IF(AND(L10="Mittellos und stationär",D17&gt;2,D17&lt;=4),202,IF(AND(L10="Mittellos und stationär",D17&gt;1,D17&lt;=2),208,IF(AND(L10="Mittellos und stationär",D17&gt;0,D17&lt;=1),317,""))))))))))))))))))))),"")))*3+(J9*90)</f>
        <v>381</v>
      </c>
      <c r="M18" s="507" t="str">
        <f>CONCATENATE(K18, K17)</f>
        <v>+Inflat.-P+§10</v>
      </c>
      <c r="N18" s="216"/>
      <c r="O18" s="188"/>
      <c r="P18" s="188"/>
      <c r="Q18" s="217" t="s">
        <v>118</v>
      </c>
      <c r="R18" s="189"/>
      <c r="S18" s="190"/>
      <c r="T18" s="190"/>
      <c r="U18" s="191"/>
      <c r="V18" s="192"/>
      <c r="W18" s="190"/>
      <c r="X18" s="190"/>
      <c r="Y18" s="191"/>
      <c r="Z18" s="192"/>
      <c r="AA18" s="190"/>
      <c r="AB18" s="190"/>
      <c r="AC18" s="191"/>
      <c r="AD18" s="192"/>
      <c r="AE18" s="190" t="s">
        <v>118</v>
      </c>
      <c r="AF18" s="190" t="s">
        <v>117</v>
      </c>
      <c r="AG18" s="191" t="s">
        <v>26</v>
      </c>
      <c r="AH18" s="193"/>
      <c r="AI18" s="190" t="s">
        <v>118</v>
      </c>
      <c r="AJ18" s="190" t="s">
        <v>117</v>
      </c>
      <c r="AK18" s="374" t="s">
        <v>26</v>
      </c>
      <c r="AL18" s="348" t="s">
        <v>151</v>
      </c>
      <c r="AM18" s="354"/>
      <c r="AN18" s="354"/>
      <c r="AO18" s="354"/>
      <c r="AP18" s="354">
        <f>IF(SUM(Q10:Q18)=SUM(AE10:AE18,AI10:AI18), 0, SUM(Q10:Q18)-SUM(AE10:AE18,AI10:AI18))</f>
        <v>0</v>
      </c>
      <c r="AQ18" s="350">
        <f>AM18+AN18+AO18+AP18</f>
        <v>0</v>
      </c>
      <c r="AR18" s="769"/>
      <c r="AS18" s="769"/>
      <c r="AT18" s="769"/>
      <c r="AW18" s="339">
        <v>10</v>
      </c>
      <c r="AX18" s="341" t="str">
        <f>IFERROR(VLOOKUP(AW18,'Aktuelle Einnahmen'!A11:G107,3,0),"")</f>
        <v>Johnson</v>
      </c>
      <c r="AY18" s="777" t="str">
        <f>IFERROR(VLOOKUP(AW18,'Aktuelle Einnahmen'!A11:G113,4,0),"")</f>
        <v>10 XVII 36/16 J</v>
      </c>
      <c r="AZ18" s="345">
        <f t="shared" si="4"/>
        <v>0</v>
      </c>
      <c r="BA18" s="345">
        <f t="shared" si="5"/>
        <v>0</v>
      </c>
      <c r="BB18" s="345">
        <f t="shared" si="6"/>
        <v>0</v>
      </c>
      <c r="BC18" s="358">
        <f t="shared" si="7"/>
        <v>0</v>
      </c>
      <c r="BD18" s="1299"/>
      <c r="BE18" s="339">
        <v>43</v>
      </c>
      <c r="BF18" s="341">
        <f>IFERROR(VLOOKUP(BE18,'Aktuelle Einnahmen'!A18:G114,3,0),"")</f>
        <v>0</v>
      </c>
      <c r="BG18" s="777">
        <f>IFERROR(VLOOKUP(BE18,'Aktuelle Einnahmen'!A18:G114,4,0),"")</f>
        <v>0</v>
      </c>
      <c r="BH18" s="345">
        <f t="shared" si="8"/>
        <v>0</v>
      </c>
      <c r="BI18" s="345">
        <f t="shared" si="9"/>
        <v>0</v>
      </c>
      <c r="BJ18" s="345">
        <f t="shared" si="10"/>
        <v>0</v>
      </c>
      <c r="BK18" s="358">
        <f t="shared" si="11"/>
        <v>0</v>
      </c>
      <c r="BM18" s="337">
        <v>76</v>
      </c>
      <c r="BN18" s="343">
        <f>IFERROR(VLOOKUP(BM18,'Aktuelle Einnahmen'!A18:G114,3,0),"")</f>
        <v>0</v>
      </c>
      <c r="BO18" s="775">
        <f>IFERROR(VLOOKUP(BM18,'Aktuelle Einnahmen'!A18:G114,4,0),"")</f>
        <v>0</v>
      </c>
      <c r="BP18" s="345">
        <f t="shared" si="12"/>
        <v>0</v>
      </c>
      <c r="BQ18" s="345">
        <f t="shared" si="13"/>
        <v>0</v>
      </c>
      <c r="BR18" s="345">
        <f t="shared" si="14"/>
        <v>0</v>
      </c>
      <c r="BS18" s="358">
        <f t="shared" si="15"/>
        <v>0</v>
      </c>
      <c r="BT18" s="335"/>
      <c r="BU18" s="335"/>
      <c r="BV18" s="335"/>
      <c r="BW18" s="335"/>
      <c r="BX18" s="335"/>
      <c r="BY18" s="335"/>
      <c r="BZ18" s="335"/>
      <c r="CA18" s="335"/>
      <c r="CB18" s="335"/>
      <c r="CC18" s="335"/>
      <c r="CD18" s="335"/>
      <c r="CE18" s="335"/>
      <c r="CF18" s="335"/>
      <c r="CG18" s="335"/>
      <c r="CH18" s="335"/>
      <c r="CI18" s="335"/>
    </row>
    <row r="19" spans="1:87" ht="22" customHeight="1">
      <c r="A19" s="181">
        <f t="shared" si="3"/>
        <v>45292</v>
      </c>
      <c r="B19" s="232" t="s">
        <v>74</v>
      </c>
      <c r="C19" s="233" t="s">
        <v>75</v>
      </c>
      <c r="D19" s="234" t="s">
        <v>76</v>
      </c>
      <c r="E19" s="235" t="s">
        <v>11</v>
      </c>
      <c r="F19" s="235" t="s">
        <v>4</v>
      </c>
      <c r="G19" s="235" t="s">
        <v>5</v>
      </c>
      <c r="H19" s="235" t="s">
        <v>6</v>
      </c>
      <c r="I19" s="236" t="s">
        <v>77</v>
      </c>
      <c r="J19" s="306"/>
      <c r="K19" s="501" t="str">
        <f t="shared" si="19"/>
        <v>+§10</v>
      </c>
      <c r="L19" s="495" t="str">
        <f>IFERROR(VLOOKUP(B20,'Aktuelle Einnahmen'!A2:J104,10,0),"")</f>
        <v>+§10</v>
      </c>
      <c r="M19" s="510" t="str">
        <f>M9</f>
        <v>Stufe C</v>
      </c>
      <c r="N19" s="237"/>
      <c r="O19" s="238"/>
      <c r="P19" s="238"/>
      <c r="Q19" s="239"/>
      <c r="R19" s="240"/>
      <c r="S19" s="241"/>
      <c r="T19" s="241"/>
      <c r="U19" s="242"/>
      <c r="V19" s="243"/>
      <c r="W19" s="241"/>
      <c r="X19" s="241"/>
      <c r="Y19" s="242"/>
      <c r="Z19" s="243"/>
      <c r="AA19" s="241"/>
      <c r="AB19" s="241"/>
      <c r="AC19" s="242"/>
      <c r="AD19" s="243"/>
      <c r="AE19" s="241"/>
      <c r="AF19" s="241"/>
      <c r="AG19" s="242"/>
      <c r="AH19" s="240"/>
      <c r="AI19" s="241"/>
      <c r="AJ19" s="241"/>
      <c r="AK19" s="377"/>
      <c r="AL19" s="347"/>
      <c r="AM19" s="353"/>
      <c r="AN19" s="353"/>
      <c r="AO19" s="353"/>
      <c r="AP19" s="353"/>
      <c r="AQ19" s="349"/>
      <c r="AR19" s="768"/>
      <c r="AS19" s="768"/>
      <c r="AT19" s="768"/>
      <c r="AW19" s="339">
        <v>11</v>
      </c>
      <c r="AX19" s="341" t="str">
        <f>IFERROR(VLOOKUP(AW19,'Aktuelle Einnahmen'!A12:G108,3,0),"")</f>
        <v>Kelly</v>
      </c>
      <c r="AY19" s="777" t="str">
        <f>IFERROR(VLOOKUP(AW19,'Aktuelle Einnahmen'!A12:G114,4,0),"")</f>
        <v>10 XVII 354/21 K</v>
      </c>
      <c r="AZ19" s="345">
        <f t="shared" si="4"/>
        <v>0</v>
      </c>
      <c r="BA19" s="345">
        <f t="shared" si="5"/>
        <v>0</v>
      </c>
      <c r="BB19" s="345">
        <f t="shared" si="6"/>
        <v>0</v>
      </c>
      <c r="BC19" s="358">
        <f t="shared" si="7"/>
        <v>0</v>
      </c>
      <c r="BD19" s="1299"/>
      <c r="BE19" s="339">
        <v>44</v>
      </c>
      <c r="BF19" s="341">
        <f>IFERROR(VLOOKUP(BE19,'Aktuelle Einnahmen'!A19:G115,3,0),"")</f>
        <v>0</v>
      </c>
      <c r="BG19" s="777">
        <f>IFERROR(VLOOKUP(BE19,'Aktuelle Einnahmen'!A19:G115,4,0),"")</f>
        <v>0</v>
      </c>
      <c r="BH19" s="345">
        <f t="shared" si="8"/>
        <v>0</v>
      </c>
      <c r="BI19" s="345">
        <f t="shared" si="9"/>
        <v>0</v>
      </c>
      <c r="BJ19" s="345">
        <f t="shared" si="10"/>
        <v>0</v>
      </c>
      <c r="BK19" s="358">
        <f t="shared" si="11"/>
        <v>0</v>
      </c>
      <c r="BM19" s="337">
        <v>77</v>
      </c>
      <c r="BN19" s="343">
        <f>IFERROR(VLOOKUP(BM19,'Aktuelle Einnahmen'!A19:G115,3,0),"")</f>
        <v>0</v>
      </c>
      <c r="BO19" s="775">
        <f>IFERROR(VLOOKUP(BM19,'Aktuelle Einnahmen'!A19:G115,4,0),"")</f>
        <v>0</v>
      </c>
      <c r="BP19" s="345">
        <f t="shared" si="12"/>
        <v>0</v>
      </c>
      <c r="BQ19" s="345">
        <f t="shared" si="13"/>
        <v>0</v>
      </c>
      <c r="BR19" s="345">
        <f t="shared" si="14"/>
        <v>0</v>
      </c>
      <c r="BS19" s="358">
        <f t="shared" si="15"/>
        <v>0</v>
      </c>
      <c r="BT19" s="335"/>
      <c r="BU19" s="335"/>
      <c r="BV19" s="335"/>
      <c r="BW19" s="335"/>
      <c r="BX19" s="335"/>
      <c r="BY19" s="335"/>
      <c r="BZ19" s="335"/>
      <c r="CA19" s="335"/>
      <c r="CB19" s="335"/>
      <c r="CC19" s="335"/>
      <c r="CD19" s="335"/>
      <c r="CE19" s="335"/>
      <c r="CF19" s="335"/>
      <c r="CG19" s="335"/>
      <c r="CH19" s="335"/>
      <c r="CI19" s="335"/>
    </row>
    <row r="20" spans="1:87" ht="23" customHeight="1">
      <c r="A20" s="181">
        <f t="shared" si="3"/>
        <v>45292</v>
      </c>
      <c r="B20" s="182">
        <v>2</v>
      </c>
      <c r="C20" s="183" t="str">
        <f>IFERROR(VLOOKUP($B20,'Aktuelle Einnahmen'!A2:G104,3,0),"")</f>
        <v>Brown</v>
      </c>
      <c r="D20" s="184" t="str">
        <f>IFERROR(VLOOKUP($B20,'Aktuelle Einnahmen'!A2:G104,2,0),"")</f>
        <v>Benjamin</v>
      </c>
      <c r="E20" s="185" t="str">
        <f>IFERROR(VLOOKUP($B20,'Aktuelle Einnahmen'!A2:G104,4,0),"")</f>
        <v>10 XVII 834 / 19 B</v>
      </c>
      <c r="F20" s="94">
        <f>IFERROR(VLOOKUP($B20,'Aktuelle Einnahmen'!A2:G104,5,0),"")</f>
        <v>25</v>
      </c>
      <c r="G20" s="94">
        <f>IFERROR(VLOOKUP($B20,'Aktuelle Einnahmen'!A2:G104,6,0),"")</f>
        <v>11</v>
      </c>
      <c r="H20" s="94">
        <f>IFERROR(VLOOKUP($B20,'Aktuelle Einnahmen'!A2:G104,7,0),"")</f>
        <v>20</v>
      </c>
      <c r="I20" s="186">
        <f>DATE(H20,G20,F20)</f>
        <v>7635</v>
      </c>
      <c r="J20" s="472">
        <f ca="1">J10</f>
        <v>45475</v>
      </c>
      <c r="K20" s="506" t="str">
        <f t="shared" si="19"/>
        <v>+Inflat.-P</v>
      </c>
      <c r="L20" s="1262" t="str">
        <f>IFERROR(VLOOKUP(B20,'Aktuelle Einnahmen'!A2:I104,9,0),"")</f>
        <v>Vermögend und stationär</v>
      </c>
      <c r="M20" s="1263"/>
      <c r="N20" s="261"/>
      <c r="O20" s="261"/>
      <c r="P20" s="261"/>
      <c r="Q20" s="261"/>
      <c r="R20" s="189"/>
      <c r="S20" s="190"/>
      <c r="T20" s="190"/>
      <c r="U20" s="191"/>
      <c r="V20" s="192"/>
      <c r="W20" s="190"/>
      <c r="X20" s="190"/>
      <c r="Y20" s="191"/>
      <c r="Z20" s="192"/>
      <c r="AA20" s="190"/>
      <c r="AB20" s="190"/>
      <c r="AC20" s="191"/>
      <c r="AD20" s="192"/>
      <c r="AE20" s="190"/>
      <c r="AF20" s="190"/>
      <c r="AG20" s="191"/>
      <c r="AH20" s="193"/>
      <c r="AI20" s="190"/>
      <c r="AJ20" s="190"/>
      <c r="AK20" s="374"/>
      <c r="AL20" s="348"/>
      <c r="AM20" s="354"/>
      <c r="AN20" s="354"/>
      <c r="AO20" s="354"/>
      <c r="AP20" s="354"/>
      <c r="AQ20" s="350"/>
      <c r="AR20" s="769"/>
      <c r="AS20" s="769"/>
      <c r="AT20" s="769"/>
      <c r="AW20" s="339">
        <v>12</v>
      </c>
      <c r="AX20" s="341" t="str">
        <f>IFERROR(VLOOKUP(AW20,'Aktuelle Einnahmen'!A13:G109,3,0),"")</f>
        <v>Lopez</v>
      </c>
      <c r="AY20" s="777" t="str">
        <f>IFERROR(VLOOKUP(AW20,'Aktuelle Einnahmen'!A13:G115,4,0),"")</f>
        <v>7 XVII 156/22 L</v>
      </c>
      <c r="AZ20" s="345">
        <f t="shared" si="4"/>
        <v>0</v>
      </c>
      <c r="BA20" s="345">
        <f t="shared" si="5"/>
        <v>0</v>
      </c>
      <c r="BB20" s="345">
        <f t="shared" si="6"/>
        <v>0</v>
      </c>
      <c r="BC20" s="358">
        <f t="shared" si="7"/>
        <v>0</v>
      </c>
      <c r="BD20" s="1299"/>
      <c r="BE20" s="339">
        <v>45</v>
      </c>
      <c r="BF20" s="341">
        <f>IFERROR(VLOOKUP(BE20,'Aktuelle Einnahmen'!A20:G116,3,0),"")</f>
        <v>0</v>
      </c>
      <c r="BG20" s="777">
        <f>IFERROR(VLOOKUP(BE20,'Aktuelle Einnahmen'!A20:G116,4,0),"")</f>
        <v>0</v>
      </c>
      <c r="BH20" s="345">
        <f t="shared" si="8"/>
        <v>0</v>
      </c>
      <c r="BI20" s="345">
        <f t="shared" si="9"/>
        <v>0</v>
      </c>
      <c r="BJ20" s="345">
        <f t="shared" si="10"/>
        <v>0</v>
      </c>
      <c r="BK20" s="358">
        <f t="shared" si="11"/>
        <v>0</v>
      </c>
      <c r="BM20" s="337">
        <v>78</v>
      </c>
      <c r="BN20" s="343">
        <f>IFERROR(VLOOKUP(BM20,'Aktuelle Einnahmen'!A20:G116,3,0),"")</f>
        <v>0</v>
      </c>
      <c r="BO20" s="775">
        <f>IFERROR(VLOOKUP(BM20,'Aktuelle Einnahmen'!A20:G116,4,0),"")</f>
        <v>0</v>
      </c>
      <c r="BP20" s="345">
        <f t="shared" si="12"/>
        <v>0</v>
      </c>
      <c r="BQ20" s="345">
        <f t="shared" si="13"/>
        <v>0</v>
      </c>
      <c r="BR20" s="345">
        <f t="shared" si="14"/>
        <v>0</v>
      </c>
      <c r="BS20" s="358">
        <f t="shared" si="15"/>
        <v>0</v>
      </c>
      <c r="BT20" s="335"/>
      <c r="BU20" s="335"/>
      <c r="BV20" s="335"/>
      <c r="BW20" s="335"/>
      <c r="BX20" s="335"/>
      <c r="BY20" s="335"/>
      <c r="BZ20" s="335"/>
      <c r="CA20" s="335"/>
      <c r="CB20" s="335"/>
      <c r="CC20" s="335"/>
      <c r="CD20" s="335"/>
      <c r="CE20" s="335"/>
      <c r="CF20" s="335"/>
      <c r="CG20" s="335"/>
      <c r="CH20" s="335"/>
      <c r="CI20" s="335"/>
    </row>
    <row r="21" spans="1:87" ht="22.25" customHeight="1">
      <c r="A21" s="181">
        <f t="shared" si="3"/>
        <v>45292</v>
      </c>
      <c r="B21" s="484">
        <f>DAY(I20)</f>
        <v>25</v>
      </c>
      <c r="C21" s="489" t="s">
        <v>158</v>
      </c>
      <c r="D21" s="520">
        <f>(I21*4)+J21/3+1</f>
        <v>13</v>
      </c>
      <c r="E21" s="194">
        <f>J23+1</f>
        <v>45256</v>
      </c>
      <c r="F21" s="195">
        <f t="shared" ref="F21:F28" si="20">DAY(E21)</f>
        <v>26</v>
      </c>
      <c r="G21" s="196">
        <f t="shared" ref="G21:G28" si="21">MONTH(E21)</f>
        <v>11</v>
      </c>
      <c r="H21" s="195">
        <f t="shared" ref="H21:H28" si="22">YEAR(E21)</f>
        <v>2023</v>
      </c>
      <c r="I21" s="197">
        <f>H21-(H20+2000)</f>
        <v>3</v>
      </c>
      <c r="J21" s="198">
        <f>G21-G20</f>
        <v>0</v>
      </c>
      <c r="K21" s="501" t="str">
        <f>L19</f>
        <v>+§10</v>
      </c>
      <c r="L21" s="469"/>
      <c r="M21" s="473" t="str">
        <f ca="1">SUM(J20-E22)&amp;" Tage"</f>
        <v>128 Tage</v>
      </c>
      <c r="N21" s="206"/>
      <c r="O21" s="201"/>
      <c r="P21" s="201"/>
      <c r="Q21" s="202"/>
      <c r="R21" s="189"/>
      <c r="S21" s="203"/>
      <c r="T21" s="203"/>
      <c r="U21" s="204"/>
      <c r="V21" s="192"/>
      <c r="W21" s="203"/>
      <c r="X21" s="203"/>
      <c r="Y21" s="204"/>
      <c r="Z21" s="192"/>
      <c r="AA21" s="203"/>
      <c r="AB21" s="203"/>
      <c r="AC21" s="204"/>
      <c r="AD21" s="192"/>
      <c r="AE21" s="203"/>
      <c r="AF21" s="203"/>
      <c r="AG21" s="204"/>
      <c r="AH21" s="193"/>
      <c r="AI21" s="203"/>
      <c r="AJ21" s="203"/>
      <c r="AK21" s="375"/>
      <c r="AL21" s="348"/>
      <c r="AM21" s="354"/>
      <c r="AN21" s="354"/>
      <c r="AO21" s="354"/>
      <c r="AP21" s="354"/>
      <c r="AQ21" s="350"/>
      <c r="AR21" s="769"/>
      <c r="AS21" s="769"/>
      <c r="AT21" s="769"/>
      <c r="AW21" s="339">
        <v>13</v>
      </c>
      <c r="AX21" s="341">
        <f>IFERROR(VLOOKUP(AW21,'Aktuelle Einnahmen'!A14:G110,3,0),"")</f>
        <v>0</v>
      </c>
      <c r="AY21" s="777">
        <f>IFERROR(VLOOKUP(AW21,'Aktuelle Einnahmen'!A14:G116,4,0),"")</f>
        <v>0</v>
      </c>
      <c r="AZ21" s="345">
        <f t="shared" si="4"/>
        <v>0</v>
      </c>
      <c r="BA21" s="345">
        <f t="shared" si="5"/>
        <v>0</v>
      </c>
      <c r="BB21" s="345">
        <f t="shared" si="6"/>
        <v>0</v>
      </c>
      <c r="BC21" s="358">
        <f t="shared" si="7"/>
        <v>0</v>
      </c>
      <c r="BD21" s="1299"/>
      <c r="BE21" s="339">
        <v>46</v>
      </c>
      <c r="BF21" s="341">
        <f>IFERROR(VLOOKUP(BE21,'Aktuelle Einnahmen'!A21:G117,3,0),"")</f>
        <v>0</v>
      </c>
      <c r="BG21" s="777">
        <f>IFERROR(VLOOKUP(BE21,'Aktuelle Einnahmen'!A21:G117,4,0),"")</f>
        <v>0</v>
      </c>
      <c r="BH21" s="345">
        <f t="shared" si="8"/>
        <v>0</v>
      </c>
      <c r="BI21" s="345">
        <f t="shared" si="9"/>
        <v>0</v>
      </c>
      <c r="BJ21" s="345">
        <f t="shared" si="10"/>
        <v>0</v>
      </c>
      <c r="BK21" s="358">
        <f t="shared" si="11"/>
        <v>0</v>
      </c>
      <c r="BM21" s="337">
        <v>79</v>
      </c>
      <c r="BN21" s="343">
        <f>IFERROR(VLOOKUP(BM21,'Aktuelle Einnahmen'!A21:G117,3,0),"")</f>
        <v>0</v>
      </c>
      <c r="BO21" s="775">
        <f>IFERROR(VLOOKUP(BM21,'Aktuelle Einnahmen'!A21:G117,4,0),"")</f>
        <v>0</v>
      </c>
      <c r="BP21" s="345">
        <f t="shared" si="12"/>
        <v>0</v>
      </c>
      <c r="BQ21" s="345">
        <f t="shared" si="13"/>
        <v>0</v>
      </c>
      <c r="BR21" s="345">
        <f t="shared" si="14"/>
        <v>0</v>
      </c>
      <c r="BS21" s="358">
        <f t="shared" si="15"/>
        <v>0</v>
      </c>
      <c r="BT21" s="335"/>
      <c r="BU21" s="335"/>
      <c r="BV21" s="335"/>
      <c r="BW21" s="335"/>
      <c r="BX21" s="335"/>
      <c r="BY21" s="335"/>
      <c r="BZ21" s="335"/>
      <c r="CA21" s="335"/>
      <c r="CB21" s="335"/>
      <c r="CC21" s="335"/>
      <c r="CD21" s="335"/>
      <c r="CE21" s="335"/>
      <c r="CF21" s="335"/>
      <c r="CG21" s="335"/>
      <c r="CH21" s="335"/>
      <c r="CI21" s="335"/>
    </row>
    <row r="22" spans="1:87" ht="22.25" customHeight="1">
      <c r="A22" s="181">
        <f t="shared" si="3"/>
        <v>45292</v>
      </c>
      <c r="B22" s="485"/>
      <c r="C22" s="490"/>
      <c r="D22" s="521"/>
      <c r="E22" s="194">
        <f>DATE(YEAR(E21),MONTH(E21)+3,DAY(E21)-1)</f>
        <v>45347</v>
      </c>
      <c r="F22" s="195">
        <f t="shared" si="20"/>
        <v>25</v>
      </c>
      <c r="G22" s="196">
        <f t="shared" si="21"/>
        <v>2</v>
      </c>
      <c r="H22" s="195">
        <f t="shared" si="22"/>
        <v>2024</v>
      </c>
      <c r="I22" s="244">
        <v>-1</v>
      </c>
      <c r="J22" s="198">
        <f>F21-F20</f>
        <v>1</v>
      </c>
      <c r="K22" s="506" t="str">
        <f t="shared" si="19"/>
        <v>+Inflat.-P</v>
      </c>
      <c r="L22" s="511">
        <f>IF(M19="Stufe A",IF(AND(L20="Auswahl treffen",D21&gt;=0,D21&lt;=1000),J19,IF(AND(L20="Vermögend und ambulant",D21&gt;8,D21&lt;=1000),130,IF(AND(L20="Vermögend und ambulant",D21&gt;4,D21&lt;=8),158,IF(AND(L20="Vermögend und ambulant",D21&gt;2,D21&lt;=4),192,IF(AND(L20="Vermögend und ambulant",D21&gt;1,D21&lt;=2),208,IF(AND(L20="Vermögend und ambulant",D21&gt;0,D21&lt;=1),298,IF(AND(L20="Vermögend und stationär",D21&gt;8,D21&lt;=1000),78,IF(AND(L20="Vermögend und stationär",D21&gt;4,D21&lt;=8),91,IF(AND(L20="Vermögend und stationär",D21&gt;2,D21&lt;=4),140,IF(AND(L20="Vermögend und stationär",D21&gt;1,D21&lt;=2),158,IF(AND(L20="Vermögend und stationär",D21&gt;0,D21&lt;=1),200,IF(AND(L20="Mittellos und ambulant",D21&gt;8,D21&lt;=1000),105,IF(AND(L20="Mittellos und ambulant",D21&gt;4,D21&lt;=8),122,IF(AND(L20="Mittellos und ambulant",D21&gt;2,D21&lt;=4),151,IF(AND(L20="Mittellos und ambulant",D21&gt;1,D21&lt;=2),170,IF(AND(L20="Mittellos und ambulant",D21&gt;0,D21&lt;=1),208,IF(AND(L20="Mittellos und stationär",D21&gt;8,D21&lt;=1000),62,IF(AND(L20="Mittellos und stationär",D21&gt;4,D21&lt;=8),87,IF(AND(L20="Mittellos und stationär",D21&gt;2,D21&lt;=4),124,IF(AND(L20="Mittellos und stationär",D21&gt;1,D21&lt;=2),129,IF(AND(L20="Mittellos und stationär",D21&gt;0,D21&lt;=1),194,""))))))))))))))))))))),IF(M19="Stufe B",IF(AND(L20="Auswahl treffen",D21&gt;=0,D21&lt;=1000),J19,IF(AND(L20="Vermögend und ambulant",D21&gt;8,D21&lt;=1000),161,IF(AND(L20="Vermögend und ambulant",D21&gt;4,D21&lt;=8),196,IF(AND(L20="Vermögend und ambulant",D21&gt;2,D21&lt;=4),238,IF(AND(L20="Vermögend und ambulant",D21&gt;1,D21&lt;=2),258,IF(AND(L20="Vermögend und ambulant",D21&gt;0,D21&lt;=1),370,IF(AND(L20="Vermögend und stationär",D21&gt;8,D21&lt;=1000),96,IF(AND(L20="Vermögend und stationär",D21&gt;4,D21&lt;=8),113,IF(AND(L20="Vermögend und stationär",D21&gt;2,D21&lt;=4),174,IF(AND(L20="Vermögend und stationär",D21&gt;1,D21&lt;=2),196,IF(AND(L20="Vermögend und stationär",D21&gt;0,D21&lt;=1),249,IF(AND(L20="Mittellos und ambulant",D21&gt;8,D21&lt;=1000),130,IF(AND(L20="Mittellos und ambulant",D21&gt;4,D21&lt;=8),151,IF(AND(L20="Mittellos und ambulant",D21&gt;2,D21&lt;=4),188,IF(AND(L20="Mittellos und ambulant",D21&gt;1,D21&lt;=2),211,IF(AND(L20="Mittellos und ambulant",D21&gt;0,D21&lt;=1),258,IF(AND(L20="Mittellos und stationär",D21&gt;8,D21&lt;=1000),78,IF(AND(L20="Mittellos und stationär",D21&gt;4,D21&lt;=8),107,IF(AND(L20="Mittellos und stationär",D21&gt;2,D21&lt;=4),154,IF(AND(L20="Mittellos und stationär",D21&gt;1,D21&lt;=2),158,IF(AND(L20="Mittellos und stationär",D21&gt;0,D21&lt;=1),241,""))))))))))))))))))))),IF(M19="Stufe C",IF(AND(L20="Auswahl treffen",D21&gt;=0,D21&lt;=1000),J19,IF(AND(L20="Vermögend und ambulant",D21&gt;8,D21&lt;=1000),211,IF(AND(L20="Vermögend und ambulant",D21&gt;4,D21&lt;=8),257,IF(AND(L20="Vermögend und ambulant",D21&gt;2,D21&lt;=4),312,IF(AND(L20="Vermögend und ambulant",D21&gt;1,D21&lt;=2),339,IF(AND(L20="Vermögend und ambulant",D21&gt;0,D21&lt;=1),486,IF(AND(L20="Vermögend und stationär",D21&gt;8,D21&lt;=1000),127,IF(AND(L20="Vermögend und stationär",D21&gt;4,D21&lt;=8),149,IF(AND(L20="Vermögend und stationär",D21&gt;2,D21&lt;=4),229,IF(AND(L20="Vermögend und stationär",D21&gt;1,D21&lt;=2),257,IF(AND(L20="Vermögend und stationär",D21&gt;0,D21&lt;=1),327,IF(AND(L20="Mittellos und ambulant",D21&gt;8,D21&lt;=1000),171,IF(AND(L20="Mittellos und ambulant",D21&gt;4,D21&lt;=8),198,IF(AND(L20="Mittellos und ambulant",D21&gt;2,D21&lt;=4),246,IF(AND(L20="Mittellos und ambulant",D21&gt;1,D21&lt;=2),277,IF(AND(L20="Mittellos und ambulant",D21&gt;0,D21&lt;=1),339,IF(AND(L20="Mittellos und stationär",D21&gt;8,D21&lt;=1000),102,IF(AND(L20="Mittellos und stationär",D21&gt;4,D21&lt;=8),141,IF(AND(L20="Mittellos und stationär",D21&gt;2,D21&lt;=4),202,IF(AND(L20="Mittellos und stationär",D21&gt;1,D21&lt;=2),208,IF(AND(L20="Mittellos und stationär",D21&gt;0,D21&lt;=1),317,""))))))))))))))))))))),"")))*3+(J19*90)</f>
        <v>381</v>
      </c>
      <c r="M22" s="507" t="str">
        <f>CONCATENATE(K22, K21)</f>
        <v>+Inflat.-P+§10</v>
      </c>
      <c r="N22" s="206" t="s">
        <v>118</v>
      </c>
      <c r="O22" s="207"/>
      <c r="P22" s="207"/>
      <c r="Q22" s="208"/>
      <c r="R22" s="187"/>
      <c r="S22" s="209" t="s">
        <v>118</v>
      </c>
      <c r="T22" s="201" t="s">
        <v>117</v>
      </c>
      <c r="U22" s="210" t="s">
        <v>26</v>
      </c>
      <c r="V22" s="192"/>
      <c r="W22" s="203"/>
      <c r="X22" s="203"/>
      <c r="Y22" s="210"/>
      <c r="Z22" s="192"/>
      <c r="AA22" s="203"/>
      <c r="AB22" s="203"/>
      <c r="AC22" s="210"/>
      <c r="AD22" s="192"/>
      <c r="AE22" s="203"/>
      <c r="AF22" s="203"/>
      <c r="AG22" s="210"/>
      <c r="AH22" s="193"/>
      <c r="AI22" s="203"/>
      <c r="AJ22" s="203"/>
      <c r="AK22" s="376"/>
      <c r="AL22" s="348" t="s">
        <v>148</v>
      </c>
      <c r="AM22" s="354">
        <f>IF(SUM(N20:N28)=SUM(S20:S28), 0, SUM(N20:N28)-SUM(S20:S28))</f>
        <v>0</v>
      </c>
      <c r="AN22" s="354"/>
      <c r="AO22" s="354"/>
      <c r="AP22" s="354"/>
      <c r="AQ22" s="350">
        <f>AM22+AN22+AO22+AP22</f>
        <v>0</v>
      </c>
      <c r="AR22" s="769"/>
      <c r="AS22" s="769"/>
      <c r="AT22" s="769"/>
      <c r="AW22" s="339">
        <v>14</v>
      </c>
      <c r="AX22" s="341">
        <f>IFERROR(VLOOKUP(AW22,'Aktuelle Einnahmen'!A15:G111,3,0),"")</f>
        <v>0</v>
      </c>
      <c r="AY22" s="777">
        <f>IFERROR(VLOOKUP(AW22,'Aktuelle Einnahmen'!A15:G117,4,0),"")</f>
        <v>0</v>
      </c>
      <c r="AZ22" s="345">
        <f t="shared" si="4"/>
        <v>0</v>
      </c>
      <c r="BA22" s="345">
        <f t="shared" si="5"/>
        <v>0</v>
      </c>
      <c r="BB22" s="345">
        <f t="shared" si="6"/>
        <v>0</v>
      </c>
      <c r="BC22" s="358">
        <f t="shared" si="7"/>
        <v>0</v>
      </c>
      <c r="BD22" s="1299"/>
      <c r="BE22" s="339">
        <v>47</v>
      </c>
      <c r="BF22" s="341">
        <f>IFERROR(VLOOKUP(BE22,'Aktuelle Einnahmen'!A22:G118,3,0),"")</f>
        <v>0</v>
      </c>
      <c r="BG22" s="777">
        <f>IFERROR(VLOOKUP(BE22,'Aktuelle Einnahmen'!A22:G118,4,0),"")</f>
        <v>0</v>
      </c>
      <c r="BH22" s="345">
        <f t="shared" si="8"/>
        <v>0</v>
      </c>
      <c r="BI22" s="345">
        <f t="shared" si="9"/>
        <v>0</v>
      </c>
      <c r="BJ22" s="345">
        <f t="shared" si="10"/>
        <v>0</v>
      </c>
      <c r="BK22" s="358">
        <f t="shared" si="11"/>
        <v>0</v>
      </c>
      <c r="BM22" s="337">
        <v>80</v>
      </c>
      <c r="BN22" s="343">
        <f>IFERROR(VLOOKUP(BM22,'Aktuelle Einnahmen'!A22:G118,3,0),"")</f>
        <v>0</v>
      </c>
      <c r="BO22" s="775">
        <f>IFERROR(VLOOKUP(BM22,'Aktuelle Einnahmen'!A22:G118,4,0),"")</f>
        <v>0</v>
      </c>
      <c r="BP22" s="345">
        <f t="shared" si="12"/>
        <v>0</v>
      </c>
      <c r="BQ22" s="345">
        <f t="shared" si="13"/>
        <v>0</v>
      </c>
      <c r="BR22" s="345">
        <f t="shared" si="14"/>
        <v>0</v>
      </c>
      <c r="BS22" s="358">
        <f t="shared" si="15"/>
        <v>0</v>
      </c>
      <c r="BT22" s="335"/>
      <c r="BU22" s="335"/>
      <c r="BV22" s="335"/>
      <c r="BW22" s="335"/>
      <c r="BX22" s="335"/>
      <c r="BY22" s="335"/>
      <c r="BZ22" s="335"/>
      <c r="CA22" s="335"/>
      <c r="CB22" s="335"/>
      <c r="CC22" s="335"/>
      <c r="CD22" s="335"/>
      <c r="CE22" s="335"/>
      <c r="CF22" s="335"/>
      <c r="CG22" s="335"/>
      <c r="CH22" s="335"/>
      <c r="CI22" s="335"/>
    </row>
    <row r="23" spans="1:87" ht="22.25" customHeight="1">
      <c r="A23" s="181">
        <f t="shared" si="3"/>
        <v>45292</v>
      </c>
      <c r="B23" s="484">
        <f>MONTH(I20)</f>
        <v>11</v>
      </c>
      <c r="C23" s="489" t="s">
        <v>158</v>
      </c>
      <c r="D23" s="522">
        <f>D21+1</f>
        <v>14</v>
      </c>
      <c r="E23" s="211">
        <f>DATE(YEAR(E22),MONTH(E22),DAY(E22)+1)</f>
        <v>45348</v>
      </c>
      <c r="F23" s="212">
        <f t="shared" si="20"/>
        <v>26</v>
      </c>
      <c r="G23" s="213">
        <f t="shared" si="21"/>
        <v>2</v>
      </c>
      <c r="H23" s="212">
        <f t="shared" si="22"/>
        <v>2024</v>
      </c>
      <c r="I23" s="214" t="str">
        <f>IF(D20&lt;&gt;0,"-1T","")</f>
        <v>-1T</v>
      </c>
      <c r="J23" s="215">
        <f>DATE($B25,I24,$B21)</f>
        <v>45255</v>
      </c>
      <c r="K23" s="501" t="str">
        <f t="shared" si="19"/>
        <v>+§10</v>
      </c>
      <c r="L23" s="470"/>
      <c r="M23" s="473" t="str">
        <f ca="1">SUM(J20-E24)&amp;" Tage"</f>
        <v>38 Tage</v>
      </c>
      <c r="N23" s="216"/>
      <c r="O23" s="217"/>
      <c r="P23" s="188"/>
      <c r="Q23" s="217"/>
      <c r="R23" s="189"/>
      <c r="S23" s="190"/>
      <c r="T23" s="190"/>
      <c r="U23" s="191"/>
      <c r="V23" s="192"/>
      <c r="W23" s="190"/>
      <c r="X23" s="190"/>
      <c r="Y23" s="191"/>
      <c r="Z23" s="192"/>
      <c r="AA23" s="190"/>
      <c r="AB23" s="190"/>
      <c r="AC23" s="191"/>
      <c r="AD23" s="192"/>
      <c r="AE23" s="190"/>
      <c r="AF23" s="190"/>
      <c r="AG23" s="191"/>
      <c r="AH23" s="193"/>
      <c r="AI23" s="190"/>
      <c r="AJ23" s="190"/>
      <c r="AK23" s="374"/>
      <c r="AL23" s="348"/>
      <c r="AM23" s="354"/>
      <c r="AN23" s="354"/>
      <c r="AO23" s="354"/>
      <c r="AP23" s="354"/>
      <c r="AQ23" s="350"/>
      <c r="AR23" s="769"/>
      <c r="AS23" s="769"/>
      <c r="AT23" s="769"/>
      <c r="AW23" s="339">
        <v>15</v>
      </c>
      <c r="AX23" s="341">
        <f>IFERROR(VLOOKUP(AW23,'Aktuelle Einnahmen'!A16:G112,3,0),"")</f>
        <v>0</v>
      </c>
      <c r="AY23" s="777">
        <f>IFERROR(VLOOKUP(AW23,'Aktuelle Einnahmen'!A16:G118,4,0),"")</f>
        <v>0</v>
      </c>
      <c r="AZ23" s="345">
        <f t="shared" si="4"/>
        <v>0</v>
      </c>
      <c r="BA23" s="345">
        <f t="shared" si="5"/>
        <v>0</v>
      </c>
      <c r="BB23" s="345">
        <f t="shared" si="6"/>
        <v>0</v>
      </c>
      <c r="BC23" s="358">
        <f t="shared" si="7"/>
        <v>0</v>
      </c>
      <c r="BD23" s="1299"/>
      <c r="BE23" s="339">
        <v>48</v>
      </c>
      <c r="BF23" s="341">
        <f>IFERROR(VLOOKUP(BE23,'Aktuelle Einnahmen'!A23:G119,3,0),"")</f>
        <v>0</v>
      </c>
      <c r="BG23" s="777">
        <f>IFERROR(VLOOKUP(BE23,'Aktuelle Einnahmen'!A23:G119,4,0),"")</f>
        <v>0</v>
      </c>
      <c r="BH23" s="345">
        <f t="shared" si="8"/>
        <v>0</v>
      </c>
      <c r="BI23" s="345">
        <f t="shared" si="9"/>
        <v>0</v>
      </c>
      <c r="BJ23" s="345">
        <f t="shared" si="10"/>
        <v>0</v>
      </c>
      <c r="BK23" s="358">
        <f t="shared" si="11"/>
        <v>0</v>
      </c>
      <c r="BM23" s="337">
        <v>81</v>
      </c>
      <c r="BN23" s="343">
        <f>IFERROR(VLOOKUP(BM23,'Aktuelle Einnahmen'!A23:G119,3,0),"")</f>
        <v>0</v>
      </c>
      <c r="BO23" s="775">
        <f>IFERROR(VLOOKUP(BM23,'Aktuelle Einnahmen'!A23:G119,4,0),"")</f>
        <v>0</v>
      </c>
      <c r="BP23" s="345">
        <f t="shared" si="12"/>
        <v>0</v>
      </c>
      <c r="BQ23" s="345">
        <f t="shared" si="13"/>
        <v>0</v>
      </c>
      <c r="BR23" s="345">
        <f t="shared" si="14"/>
        <v>0</v>
      </c>
      <c r="BS23" s="358">
        <f t="shared" si="15"/>
        <v>0</v>
      </c>
      <c r="BT23" s="335"/>
      <c r="BU23" s="335"/>
      <c r="BV23" s="335"/>
      <c r="BW23" s="335"/>
      <c r="BX23" s="335"/>
      <c r="BY23" s="335"/>
      <c r="BZ23" s="335"/>
      <c r="CA23" s="335"/>
      <c r="CB23" s="335"/>
      <c r="CC23" s="335"/>
      <c r="CD23" s="335"/>
      <c r="CE23" s="335"/>
      <c r="CF23" s="335"/>
      <c r="CG23" s="335"/>
      <c r="CH23" s="335"/>
      <c r="CI23" s="335"/>
    </row>
    <row r="24" spans="1:87" ht="22.25" customHeight="1">
      <c r="A24" s="181">
        <f t="shared" si="3"/>
        <v>45292</v>
      </c>
      <c r="B24" s="485"/>
      <c r="C24" s="490"/>
      <c r="D24" s="521"/>
      <c r="E24" s="218">
        <f>DATE(YEAR(E23),MONTH(E23)+3,DAY(E23)-1)</f>
        <v>45437</v>
      </c>
      <c r="F24" s="212">
        <f t="shared" si="20"/>
        <v>25</v>
      </c>
      <c r="G24" s="213">
        <f t="shared" si="21"/>
        <v>5</v>
      </c>
      <c r="H24" s="212">
        <f t="shared" si="22"/>
        <v>2024</v>
      </c>
      <c r="I24" s="219">
        <f>MAX(I25:I28)</f>
        <v>11</v>
      </c>
      <c r="J24" s="220">
        <f>DATE(YEAR(J23)+1,MONTH(J23),DAY(J23))</f>
        <v>45621</v>
      </c>
      <c r="K24" s="506" t="str">
        <f t="shared" si="19"/>
        <v>+Inflat.-P</v>
      </c>
      <c r="L24" s="508">
        <f>IF(M19="Stufe A",IF(AND(L20="Auswahl treffen",D23&gt;=0,D23&lt;=1000),J19,IF(AND(L20="Vermögend und ambulant",D23&gt;8,D23&lt;=1000),130,IF(AND(L20="Vermögend und ambulant",D23&gt;4,D23&lt;=8),158,IF(AND(L20="Vermögend und ambulant",D23&gt;2,D23&lt;=4),192,IF(AND(L20="Vermögend und ambulant",D23&gt;1,D23&lt;=2),208,IF(AND(L20="Vermögend und ambulant",D23&gt;0,D23&lt;=1),298,IF(AND(L20="Vermögend und stationär",D23&gt;8,D23&lt;=1000),78,IF(AND(L20="Vermögend und stationär",D23&gt;4,D23&lt;=8),91,IF(AND(L20="Vermögend und stationär",D23&gt;2,D23&lt;=4),140,IF(AND(L20="Vermögend und stationär",D23&gt;1,D23&lt;=2),158,IF(AND(L20="Vermögend und stationär",D23&gt;0,D23&lt;=1),200,IF(AND(L20="Mittellos und ambulant",D23&gt;8,D23&lt;=1000),105,IF(AND(L20="Mittellos und ambulant",D23&gt;4,D23&lt;=8),122,IF(AND(L20="Mittellos und ambulant",D23&gt;2,D23&lt;=4),151,IF(AND(L20="Mittellos und ambulant",D23&gt;1,D23&lt;=2),170,IF(AND(L20="Mittellos und ambulant",D23&gt;0,D23&lt;=1),208,IF(AND(L20="Mittellos und stationär",D23&gt;8,D23&lt;=1000),62,IF(AND(L20="Mittellos und stationär",D23&gt;4,D23&lt;=8),87,IF(AND(L20="Mittellos und stationär",D23&gt;2,D23&lt;=4),124,IF(AND(L20="Mittellos und stationär",D23&gt;1,D23&lt;=2),129,IF(AND(L20="Mittellos und stationär",D23&gt;0,D23&lt;=1),194,""))))))))))))))))))))),IF(M19="Stufe B",IF(AND(L20="Auswahl treffen",D23&gt;=0,D23&lt;=1000),J19,IF(AND(L20="Vermögend und ambulant",D23&gt;8,D23&lt;=1000),161,IF(AND(L20="Vermögend und ambulant",D23&gt;4,D23&lt;=8),196,IF(AND(L20="Vermögend und ambulant",D23&gt;2,D23&lt;=4),238,IF(AND(L20="Vermögend und ambulant",D23&gt;1,D23&lt;=2),258,IF(AND(L20="Vermögend und ambulant",D23&gt;0,D23&lt;=1),370,IF(AND(L20="Vermögend und stationär",D23&gt;8,D23&lt;=1000),96,IF(AND(L20="Vermögend und stationär",D23&gt;4,D23&lt;=8),113,IF(AND(L20="Vermögend und stationär",D23&gt;2,D23&lt;=4),174,IF(AND(L20="Vermögend und stationär",D23&gt;1,D23&lt;=2),196,IF(AND(L20="Vermögend und stationär",D23&gt;0,D23&lt;=1),249,IF(AND(L20="Mittellos und ambulant",D23&gt;8,D23&lt;=1000),130,IF(AND(L20="Mittellos und ambulant",D23&gt;4,D23&lt;=8),151,IF(AND(L20="Mittellos und ambulant",D23&gt;2,D23&lt;=4),188,IF(AND(L20="Mittellos und ambulant",D23&gt;1,D23&lt;=2),211,IF(AND(L20="Mittellos und ambulant",D23&gt;0,D23&lt;=1),258,IF(AND(L20="Mittellos und stationär",D23&gt;8,D23&lt;=1000),78,IF(AND(L20="Mittellos und stationär",D23&gt;4,D23&lt;=8),107,IF(AND(L20="Mittellos und stationär",D23&gt;2,D23&lt;=4),154,IF(AND(L20="Mittellos und stationär",D23&gt;1,D23&lt;=2),158,IF(AND(L20="Mittellos und stationär",D23&gt;0,D23&lt;=1),241,""))))))))))))))))))))),IF(M19="Stufe C",IF(AND(L20="Auswahl treffen",D23&gt;=0,D23&lt;=1000),J19,IF(AND(L20="Vermögend und ambulant",D23&gt;8,D23&lt;=1000),211,IF(AND(L20="Vermögend und ambulant",D23&gt;4,D23&lt;=8),257,IF(AND(L20="Vermögend und ambulant",D23&gt;2,D23&lt;=4),312,IF(AND(L20="Vermögend und ambulant",D23&gt;1,D23&lt;=2),339,IF(AND(L20="Vermögend und ambulant",D23&gt;0,D23&lt;=1),486,IF(AND(L20="Vermögend und stationär",D23&gt;8,D23&lt;=1000),127,IF(AND(L20="Vermögend und stationär",D23&gt;4,D23&lt;=8),149,IF(AND(L20="Vermögend und stationär",D23&gt;2,D23&lt;=4),229,IF(AND(L20="Vermögend und stationär",D23&gt;1,D23&lt;=2),257,IF(AND(L20="Vermögend und stationär",D23&gt;0,D23&lt;=1),327,IF(AND(L20="Mittellos und ambulant",D23&gt;8,D23&lt;=1000),171,IF(AND(L20="Mittellos und ambulant",D23&gt;4,D23&lt;=8),198,IF(AND(L20="Mittellos und ambulant",D23&gt;2,D23&lt;=4),246,IF(AND(L20="Mittellos und ambulant",D23&gt;1,D23&lt;=2),277,IF(AND(L20="Mittellos und ambulant",D23&gt;0,D23&lt;=1),339,IF(AND(L20="Mittellos und stationär",D23&gt;8,D23&lt;=1000),102,IF(AND(L20="Mittellos und stationär",D23&gt;4,D23&lt;=8),141,IF(AND(L20="Mittellos und stationär",D23&gt;2,D23&lt;=4),202,IF(AND(L20="Mittellos und stationär",D23&gt;1,D23&lt;=2),208,IF(AND(L20="Mittellos und stationär",D23&gt;0,D23&lt;=1),317,""))))))))))))))))))))),"")))*3+(J19*90)</f>
        <v>381</v>
      </c>
      <c r="M24" s="507" t="str">
        <f>CONCATENATE(K24, K23)</f>
        <v>+Inflat.-P+§10</v>
      </c>
      <c r="N24" s="216"/>
      <c r="O24" s="188" t="s">
        <v>118</v>
      </c>
      <c r="P24" s="188"/>
      <c r="Q24" s="221"/>
      <c r="R24" s="199"/>
      <c r="S24" s="190"/>
      <c r="T24" s="190"/>
      <c r="U24" s="191"/>
      <c r="V24" s="192"/>
      <c r="W24" s="222" t="s">
        <v>118</v>
      </c>
      <c r="X24" s="222" t="s">
        <v>117</v>
      </c>
      <c r="Y24" s="191" t="s">
        <v>26</v>
      </c>
      <c r="Z24" s="192"/>
      <c r="AA24" s="190"/>
      <c r="AB24" s="190"/>
      <c r="AC24" s="191"/>
      <c r="AD24" s="192"/>
      <c r="AE24" s="190"/>
      <c r="AF24" s="190"/>
      <c r="AG24" s="191"/>
      <c r="AH24" s="193"/>
      <c r="AI24" s="190"/>
      <c r="AJ24" s="190"/>
      <c r="AK24" s="374"/>
      <c r="AL24" s="348" t="s">
        <v>149</v>
      </c>
      <c r="AM24" s="354"/>
      <c r="AN24" s="354">
        <f>IF(SUM(O20:O28)=SUM(W20:W28), 0, SUM(O20:O28)-SUM(W20:W28))</f>
        <v>0</v>
      </c>
      <c r="AO24" s="354"/>
      <c r="AP24" s="354"/>
      <c r="AQ24" s="350">
        <f>AM24+AN24+AO24+AP24</f>
        <v>0</v>
      </c>
      <c r="AR24" s="769"/>
      <c r="AS24" s="769"/>
      <c r="AT24" s="769"/>
      <c r="AW24" s="339">
        <v>16</v>
      </c>
      <c r="AX24" s="341">
        <f>IFERROR(VLOOKUP(AW24,'Aktuelle Einnahmen'!A17:G113,3,0),"")</f>
        <v>0</v>
      </c>
      <c r="AY24" s="777">
        <f>IFERROR(VLOOKUP(AW24,'Aktuelle Einnahmen'!A17:G119,4,0),"")</f>
        <v>0</v>
      </c>
      <c r="AZ24" s="345">
        <f t="shared" si="4"/>
        <v>0</v>
      </c>
      <c r="BA24" s="345">
        <f t="shared" si="5"/>
        <v>0</v>
      </c>
      <c r="BB24" s="345">
        <f t="shared" si="6"/>
        <v>0</v>
      </c>
      <c r="BC24" s="358">
        <f t="shared" si="7"/>
        <v>0</v>
      </c>
      <c r="BD24" s="1299"/>
      <c r="BE24" s="339">
        <v>49</v>
      </c>
      <c r="BF24" s="341">
        <f>IFERROR(VLOOKUP(BE24,'Aktuelle Einnahmen'!A24:G120,3,0),"")</f>
        <v>0</v>
      </c>
      <c r="BG24" s="777">
        <f>IFERROR(VLOOKUP(BE24,'Aktuelle Einnahmen'!A24:G120,4,0),"")</f>
        <v>0</v>
      </c>
      <c r="BH24" s="345">
        <f t="shared" si="8"/>
        <v>0</v>
      </c>
      <c r="BI24" s="345">
        <f t="shared" si="9"/>
        <v>0</v>
      </c>
      <c r="BJ24" s="345">
        <f t="shared" si="10"/>
        <v>0</v>
      </c>
      <c r="BK24" s="358">
        <f t="shared" si="11"/>
        <v>0</v>
      </c>
      <c r="BM24" s="337">
        <v>82</v>
      </c>
      <c r="BN24" s="343">
        <f>IFERROR(VLOOKUP(BM24,'Aktuelle Einnahmen'!A24:G120,3,0),"")</f>
        <v>0</v>
      </c>
      <c r="BO24" s="775">
        <f>IFERROR(VLOOKUP(BM24,'Aktuelle Einnahmen'!A24:G120,4,0),"")</f>
        <v>0</v>
      </c>
      <c r="BP24" s="345">
        <f t="shared" si="12"/>
        <v>0</v>
      </c>
      <c r="BQ24" s="345">
        <f t="shared" si="13"/>
        <v>0</v>
      </c>
      <c r="BR24" s="345">
        <f t="shared" si="14"/>
        <v>0</v>
      </c>
      <c r="BS24" s="358">
        <f t="shared" si="15"/>
        <v>0</v>
      </c>
      <c r="BT24" s="335"/>
      <c r="BU24" s="335"/>
      <c r="BV24" s="335"/>
      <c r="BW24" s="335"/>
      <c r="BX24" s="335"/>
      <c r="BY24" s="335"/>
      <c r="BZ24" s="335"/>
      <c r="CA24" s="335"/>
      <c r="CB24" s="335"/>
      <c r="CC24" s="335"/>
      <c r="CD24" s="335"/>
      <c r="CE24" s="335"/>
      <c r="CF24" s="335"/>
      <c r="CG24" s="335"/>
      <c r="CH24" s="335"/>
      <c r="CI24" s="335"/>
    </row>
    <row r="25" spans="1:87" ht="22.25" customHeight="1">
      <c r="A25" s="181">
        <f t="shared" si="3"/>
        <v>45292</v>
      </c>
      <c r="B25" s="484">
        <f>YEAR($A26)-1</f>
        <v>2023</v>
      </c>
      <c r="C25" s="489" t="s">
        <v>158</v>
      </c>
      <c r="D25" s="520">
        <f>D23+1</f>
        <v>15</v>
      </c>
      <c r="E25" s="194">
        <f>DATE(YEAR(E24),MONTH(E24),DAY(E24)+1)</f>
        <v>45438</v>
      </c>
      <c r="F25" s="195">
        <f t="shared" si="20"/>
        <v>26</v>
      </c>
      <c r="G25" s="196">
        <f t="shared" si="21"/>
        <v>5</v>
      </c>
      <c r="H25" s="195">
        <f t="shared" si="22"/>
        <v>2024</v>
      </c>
      <c r="I25" s="223" t="str">
        <f>IF(J27&lt;13,J27,"")</f>
        <v/>
      </c>
      <c r="J25" s="224">
        <f>G20</f>
        <v>11</v>
      </c>
      <c r="K25" s="501" t="str">
        <f t="shared" si="19"/>
        <v>+§10</v>
      </c>
      <c r="L25" s="471"/>
      <c r="M25" s="473" t="str">
        <f ca="1">SUM(J20-E26)&amp;" Tage"</f>
        <v>-54 Tage</v>
      </c>
      <c r="N25" s="200"/>
      <c r="O25" s="201"/>
      <c r="P25" s="201"/>
      <c r="Q25" s="202"/>
      <c r="R25" s="189"/>
      <c r="S25" s="203"/>
      <c r="T25" s="203"/>
      <c r="U25" s="204"/>
      <c r="V25" s="192"/>
      <c r="W25" s="203"/>
      <c r="X25" s="203"/>
      <c r="Y25" s="204"/>
      <c r="Z25" s="192"/>
      <c r="AA25" s="203"/>
      <c r="AB25" s="203"/>
      <c r="AC25" s="204"/>
      <c r="AD25" s="192"/>
      <c r="AE25" s="203"/>
      <c r="AF25" s="203"/>
      <c r="AG25" s="204"/>
      <c r="AH25" s="193"/>
      <c r="AI25" s="203"/>
      <c r="AJ25" s="203"/>
      <c r="AK25" s="375"/>
      <c r="AL25" s="348"/>
      <c r="AM25" s="354"/>
      <c r="AN25" s="354"/>
      <c r="AO25" s="354"/>
      <c r="AP25" s="354"/>
      <c r="AQ25" s="350"/>
      <c r="AR25" s="769"/>
      <c r="AS25" s="769"/>
      <c r="AT25" s="769"/>
      <c r="AW25" s="339">
        <v>17</v>
      </c>
      <c r="AX25" s="341">
        <f>IFERROR(VLOOKUP(AW25,'Aktuelle Einnahmen'!A18:G114,3,0),"")</f>
        <v>0</v>
      </c>
      <c r="AY25" s="777">
        <f>IFERROR(VLOOKUP(AW25,'Aktuelle Einnahmen'!A18:G120,4,0),"")</f>
        <v>0</v>
      </c>
      <c r="AZ25" s="345">
        <f t="shared" si="4"/>
        <v>0</v>
      </c>
      <c r="BA25" s="345">
        <f t="shared" si="5"/>
        <v>0</v>
      </c>
      <c r="BB25" s="345">
        <f t="shared" si="6"/>
        <v>0</v>
      </c>
      <c r="BC25" s="358">
        <f t="shared" si="7"/>
        <v>0</v>
      </c>
      <c r="BD25" s="1299"/>
      <c r="BE25" s="339">
        <v>50</v>
      </c>
      <c r="BF25" s="341">
        <f>IFERROR(VLOOKUP(BE25,'Aktuelle Einnahmen'!A25:G121,3,0),"")</f>
        <v>0</v>
      </c>
      <c r="BG25" s="777">
        <f>IFERROR(VLOOKUP(BE25,'Aktuelle Einnahmen'!A25:G121,4,0),"")</f>
        <v>0</v>
      </c>
      <c r="BH25" s="345">
        <f t="shared" si="8"/>
        <v>0</v>
      </c>
      <c r="BI25" s="345">
        <f t="shared" si="9"/>
        <v>0</v>
      </c>
      <c r="BJ25" s="345">
        <f t="shared" si="10"/>
        <v>0</v>
      </c>
      <c r="BK25" s="358">
        <f t="shared" si="11"/>
        <v>0</v>
      </c>
      <c r="BM25" s="337">
        <v>83</v>
      </c>
      <c r="BN25" s="343">
        <f>IFERROR(VLOOKUP(BM25,'Aktuelle Einnahmen'!A25:G121,3,0),"")</f>
        <v>0</v>
      </c>
      <c r="BO25" s="775">
        <f>IFERROR(VLOOKUP(BM25,'Aktuelle Einnahmen'!A25:G121,4,0),"")</f>
        <v>0</v>
      </c>
      <c r="BP25" s="345">
        <f t="shared" si="12"/>
        <v>0</v>
      </c>
      <c r="BQ25" s="345">
        <f t="shared" si="13"/>
        <v>0</v>
      </c>
      <c r="BR25" s="345">
        <f t="shared" si="14"/>
        <v>0</v>
      </c>
      <c r="BS25" s="358">
        <f t="shared" si="15"/>
        <v>0</v>
      </c>
      <c r="BT25" s="335"/>
      <c r="BU25" s="335"/>
      <c r="BV25" s="335"/>
      <c r="BW25" s="335"/>
      <c r="BX25" s="335"/>
      <c r="BY25" s="335"/>
      <c r="BZ25" s="335"/>
      <c r="CA25" s="335"/>
      <c r="CB25" s="335"/>
      <c r="CC25" s="335"/>
      <c r="CD25" s="335"/>
      <c r="CE25" s="335"/>
      <c r="CF25" s="335"/>
      <c r="CG25" s="335"/>
      <c r="CH25" s="335"/>
      <c r="CI25" s="335"/>
    </row>
    <row r="26" spans="1:87" ht="22.25" customHeight="1">
      <c r="A26" s="181">
        <f t="shared" si="3"/>
        <v>45292</v>
      </c>
      <c r="B26" s="485"/>
      <c r="C26" s="490"/>
      <c r="D26" s="521"/>
      <c r="E26" s="194">
        <f>DATE(YEAR(E25),MONTH(E25)+3,DAY(E25)-1)</f>
        <v>45529</v>
      </c>
      <c r="F26" s="195">
        <f t="shared" si="20"/>
        <v>25</v>
      </c>
      <c r="G26" s="196">
        <f t="shared" si="21"/>
        <v>8</v>
      </c>
      <c r="H26" s="195">
        <f t="shared" si="22"/>
        <v>2024</v>
      </c>
      <c r="I26" s="225" t="str">
        <f>IF(J28&lt;13,J28,"")</f>
        <v/>
      </c>
      <c r="J26" s="224">
        <f>J25+3</f>
        <v>14</v>
      </c>
      <c r="K26" s="501" t="str">
        <f t="shared" si="19"/>
        <v>+Inflat.-P</v>
      </c>
      <c r="L26" s="511">
        <f>IF(M19="Stufe A",IF(AND(L20="Auswahl treffen",D25&gt;=0,D25&lt;=1000),J19,IF(AND(L20="Vermögend und ambulant",D25&gt;8,D25&lt;=1000),130,IF(AND(L20="Vermögend und ambulant",D25&gt;4,D25&lt;=8),158,IF(AND(L20="Vermögend und ambulant",D25&gt;2,D25&lt;=4),192,IF(AND(L20="Vermögend und ambulant",D25&gt;1,D25&lt;=2),208,IF(AND(L20="Vermögend und ambulant",D25&gt;0,D25&lt;=1),298,IF(AND(L20="Vermögend und stationär",D25&gt;8,D25&lt;=1000),78,IF(AND(L20="Vermögend und stationär",D25&gt;4,D25&lt;=8),91,IF(AND(L20="Vermögend und stationär",D25&gt;2,D25&lt;=4),140,IF(AND(L20="Vermögend und stationär",D25&gt;1,D25&lt;=2),158,IF(AND(L20="Vermögend und stationär",D25&gt;0,D25&lt;=1),200,IF(AND(L20="Mittellos und ambulant",D25&gt;8,D25&lt;=1000),105,IF(AND(L20="Mittellos und ambulant",D25&gt;4,D25&lt;=8),122,IF(AND(L20="Mittellos und ambulant",D25&gt;2,D25&lt;=4),151,IF(AND(L20="Mittellos und ambulant",D25&gt;1,D25&lt;=2),170,IF(AND(L20="Mittellos und ambulant",D25&gt;0,D25&lt;=1),208,IF(AND(L20="Mittellos und stationär",D25&gt;8,D25&lt;=1000),62,IF(AND(L20="Mittellos und stationär",D25&gt;4,D25&lt;=8),87,IF(AND(L20="Mittellos und stationär",D25&gt;2,D25&lt;=4),124,IF(AND(L20="Mittellos und stationär",D25&gt;1,D25&lt;=2),129,IF(AND(L20="Mittellos und stationär",D25&gt;0,D25&lt;=1),194,""))))))))))))))))))))),IF(M19="Stufe B",IF(AND(L20="Auswahl treffen",D25&gt;=0,D25&lt;=1000),J19,IF(AND(L20="Vermögend und ambulant",D25&gt;8,D25&lt;=1000),161,IF(AND(L20="Vermögend und ambulant",D25&gt;4,D25&lt;=8),196,IF(AND(L20="Vermögend und ambulant",D25&gt;2,D25&lt;=4),238,IF(AND(L20="Vermögend und ambulant",D25&gt;1,D25&lt;=2),258,IF(AND(L20="Vermögend und ambulant",D25&gt;0,D25&lt;=1),370,IF(AND(L20="Vermögend und stationär",D25&gt;8,D25&lt;=1000),96,IF(AND(L20="Vermögend und stationär",D25&gt;4,D25&lt;=8),113,IF(AND(L20="Vermögend und stationär",D25&gt;2,D25&lt;=4),174,IF(AND(L20="Vermögend und stationär",D25&gt;1,D25&lt;=2),196,IF(AND(L20="Vermögend und stationär",D25&gt;0,D25&lt;=1),249,IF(AND(L20="Mittellos und ambulant",D25&gt;8,D25&lt;=1000),130,IF(AND(L20="Mittellos und ambulant",D25&gt;4,D25&lt;=8),151,IF(AND(L20="Mittellos und ambulant",D25&gt;2,D25&lt;=4),188,IF(AND(L20="Mittellos und ambulant",D25&gt;1,D25&lt;=2),211,IF(AND(L20="Mittellos und ambulant",D25&gt;0,D25&lt;=1),258,IF(AND(L20="Mittellos und stationär",D25&gt;8,D25&lt;=1000),78,IF(AND(L20="Mittellos und stationär",D25&gt;4,D25&lt;=8),107,IF(AND(L20="Mittellos und stationär",D25&gt;2,D25&lt;=4),154,IF(AND(L20="Mittellos und stationär",D25&gt;1,D25&lt;=2),158,IF(AND(L20="Mittellos und stationär",D25&gt;0,D25&lt;=1),241,""))))))))))))))))))))),IF(M19="Stufe C",IF(AND(L20="Auswahl treffen",D25&gt;=0,D25&lt;=1000),J19,IF(AND(L20="Vermögend und ambulant",D25&gt;8,D25&lt;=1000),211,IF(AND(L20="Vermögend und ambulant",D25&gt;4,D25&lt;=8),257,IF(AND(L20="Vermögend und ambulant",D25&gt;2,D25&lt;=4),312,IF(AND(L20="Vermögend und ambulant",D25&gt;1,D25&lt;=2),339,IF(AND(L20="Vermögend und ambulant",D25&gt;0,D25&lt;=1),486,IF(AND(L20="Vermögend und stationär",D25&gt;8,D25&lt;=1000),127,IF(AND(L20="Vermögend und stationär",D25&gt;4,D25&lt;=8),149,IF(AND(L20="Vermögend und stationär",D25&gt;2,D25&lt;=4),229,IF(AND(L20="Vermögend und stationär",D25&gt;1,D25&lt;=2),257,IF(AND(L20="Vermögend und stationär",D25&gt;0,D25&lt;=1),327,IF(AND(L20="Mittellos und ambulant",D25&gt;8,D25&lt;=1000),171,IF(AND(L20="Mittellos und ambulant",D25&gt;4,D25&lt;=8),198,IF(AND(L20="Mittellos und ambulant",D25&gt;2,D25&lt;=4),246,IF(AND(L20="Mittellos und ambulant",D25&gt;1,D25&lt;=2),277,IF(AND(L20="Mittellos und ambulant",D25&gt;0,D25&lt;=1),339,IF(AND(L20="Mittellos und stationär",D25&gt;8,D25&lt;=1000),102,IF(AND(L20="Mittellos und stationär",D25&gt;4,D25&lt;=8),141,IF(AND(L20="Mittellos und stationär",D25&gt;2,D25&lt;=4),202,IF(AND(L20="Mittellos und stationär",D25&gt;1,D25&lt;=2),208,IF(AND(L20="Mittellos und stationär",D25&gt;0,D25&lt;=1),317,""))))))))))))))))))))),"")))*3+(J19*90)</f>
        <v>381</v>
      </c>
      <c r="M26" s="507" t="str">
        <f>CONCATENATE(K26, K25)</f>
        <v>+Inflat.-P+§10</v>
      </c>
      <c r="N26" s="206"/>
      <c r="O26" s="207"/>
      <c r="P26" s="206" t="s">
        <v>118</v>
      </c>
      <c r="Q26" s="226"/>
      <c r="R26" s="189"/>
      <c r="S26" s="203"/>
      <c r="T26" s="203"/>
      <c r="U26" s="204"/>
      <c r="V26" s="192"/>
      <c r="W26" s="203"/>
      <c r="X26" s="203"/>
      <c r="Y26" s="204"/>
      <c r="Z26" s="192"/>
      <c r="AA26" s="209" t="s">
        <v>118</v>
      </c>
      <c r="AB26" s="209" t="s">
        <v>117</v>
      </c>
      <c r="AC26" s="204" t="s">
        <v>26</v>
      </c>
      <c r="AD26" s="192"/>
      <c r="AE26" s="203"/>
      <c r="AF26" s="203"/>
      <c r="AG26" s="204"/>
      <c r="AH26" s="193"/>
      <c r="AI26" s="203"/>
      <c r="AJ26" s="203"/>
      <c r="AK26" s="375"/>
      <c r="AL26" s="348" t="s">
        <v>150</v>
      </c>
      <c r="AM26" s="354"/>
      <c r="AN26" s="354"/>
      <c r="AO26" s="354">
        <f>IF(SUM(P20:P28)=SUM(AA20:AA28), 0, SUM(P20:P28)-SUM(AA20:AA28))</f>
        <v>0</v>
      </c>
      <c r="AP26" s="354"/>
      <c r="AQ26" s="350">
        <f>AM26+AN26+AO26+AP26</f>
        <v>0</v>
      </c>
      <c r="AR26" s="769"/>
      <c r="AS26" s="769"/>
      <c r="AT26" s="769"/>
      <c r="AW26" s="339">
        <v>18</v>
      </c>
      <c r="AX26" s="341">
        <f>IFERROR(VLOOKUP(AW26,'Aktuelle Einnahmen'!A19:G115,3,0),"")</f>
        <v>0</v>
      </c>
      <c r="AY26" s="777">
        <f>IFERROR(VLOOKUP(AW26,'Aktuelle Einnahmen'!A19:G121,4,0),"")</f>
        <v>0</v>
      </c>
      <c r="AZ26" s="345">
        <f t="shared" si="4"/>
        <v>0</v>
      </c>
      <c r="BA26" s="345">
        <f t="shared" si="5"/>
        <v>0</v>
      </c>
      <c r="BB26" s="345">
        <f t="shared" si="6"/>
        <v>0</v>
      </c>
      <c r="BC26" s="358">
        <f t="shared" si="7"/>
        <v>0</v>
      </c>
      <c r="BD26" s="1299"/>
      <c r="BE26" s="339">
        <v>51</v>
      </c>
      <c r="BF26" s="341">
        <f>IFERROR(VLOOKUP(BE26,'Aktuelle Einnahmen'!A26:G122,3,0),"")</f>
        <v>0</v>
      </c>
      <c r="BG26" s="777">
        <f>IFERROR(VLOOKUP(BE26,'Aktuelle Einnahmen'!A26:G122,4,0),"")</f>
        <v>0</v>
      </c>
      <c r="BH26" s="345">
        <f t="shared" si="8"/>
        <v>0</v>
      </c>
      <c r="BI26" s="345">
        <f t="shared" si="9"/>
        <v>0</v>
      </c>
      <c r="BJ26" s="345">
        <f t="shared" si="10"/>
        <v>0</v>
      </c>
      <c r="BK26" s="358">
        <f t="shared" si="11"/>
        <v>0</v>
      </c>
      <c r="BM26" s="337">
        <v>84</v>
      </c>
      <c r="BN26" s="343">
        <f>IFERROR(VLOOKUP(BM26,'Aktuelle Einnahmen'!A26:G122,3,0),"")</f>
        <v>0</v>
      </c>
      <c r="BO26" s="775">
        <f>IFERROR(VLOOKUP(BM26,'Aktuelle Einnahmen'!A26:G122,4,0),"")</f>
        <v>0</v>
      </c>
      <c r="BP26" s="345">
        <f t="shared" si="12"/>
        <v>0</v>
      </c>
      <c r="BQ26" s="345">
        <f t="shared" si="13"/>
        <v>0</v>
      </c>
      <c r="BR26" s="345">
        <f t="shared" si="14"/>
        <v>0</v>
      </c>
      <c r="BS26" s="358">
        <f t="shared" si="15"/>
        <v>0</v>
      </c>
      <c r="BT26" s="335"/>
      <c r="BU26" s="335"/>
      <c r="BV26" s="335"/>
      <c r="BW26" s="335"/>
      <c r="BX26" s="335"/>
      <c r="BY26" s="335"/>
      <c r="BZ26" s="335"/>
      <c r="CA26" s="335"/>
      <c r="CB26" s="335"/>
      <c r="CC26" s="335"/>
      <c r="CD26" s="335"/>
      <c r="CE26" s="335"/>
      <c r="CF26" s="335"/>
      <c r="CG26" s="335"/>
      <c r="CH26" s="335"/>
      <c r="CI26" s="335"/>
    </row>
    <row r="27" spans="1:87" ht="22.25" customHeight="1">
      <c r="A27" s="181">
        <f t="shared" si="3"/>
        <v>45292</v>
      </c>
      <c r="B27" s="486"/>
      <c r="C27" s="489" t="s">
        <v>158</v>
      </c>
      <c r="D27" s="522">
        <f>D25+1</f>
        <v>16</v>
      </c>
      <c r="E27" s="211">
        <f>DATE(YEAR(E26),MONTH(E26),DAY(E26)+1)</f>
        <v>45530</v>
      </c>
      <c r="F27" s="227">
        <f t="shared" si="20"/>
        <v>26</v>
      </c>
      <c r="G27" s="228">
        <f t="shared" si="21"/>
        <v>8</v>
      </c>
      <c r="H27" s="227">
        <f t="shared" si="22"/>
        <v>2024</v>
      </c>
      <c r="I27" s="229" t="str">
        <f>IF(J26&lt;13,J26,"")</f>
        <v/>
      </c>
      <c r="J27" s="230">
        <f>J28+3</f>
        <v>20</v>
      </c>
      <c r="K27" s="506" t="str">
        <f t="shared" si="19"/>
        <v>+§10</v>
      </c>
      <c r="L27" s="471"/>
      <c r="M27" s="473" t="str">
        <f ca="1">SUM(J20-E28)&amp;" Tage"</f>
        <v>-146 Tage</v>
      </c>
      <c r="N27" s="216"/>
      <c r="O27" s="188"/>
      <c r="P27" s="188"/>
      <c r="Q27" s="217"/>
      <c r="R27" s="189"/>
      <c r="S27" s="190"/>
      <c r="T27" s="190"/>
      <c r="U27" s="191"/>
      <c r="V27" s="192"/>
      <c r="W27" s="190"/>
      <c r="X27" s="190"/>
      <c r="Y27" s="191"/>
      <c r="Z27" s="192"/>
      <c r="AA27" s="190"/>
      <c r="AB27" s="190"/>
      <c r="AC27" s="191"/>
      <c r="AD27" s="192"/>
      <c r="AE27" s="190"/>
      <c r="AF27" s="190"/>
      <c r="AG27" s="191"/>
      <c r="AH27" s="193"/>
      <c r="AI27" s="190"/>
      <c r="AJ27" s="190"/>
      <c r="AK27" s="374"/>
      <c r="AL27" s="348"/>
      <c r="AM27" s="354"/>
      <c r="AN27" s="354"/>
      <c r="AO27" s="354"/>
      <c r="AP27" s="354"/>
      <c r="AQ27" s="350"/>
      <c r="AR27" s="769"/>
      <c r="AS27" s="769"/>
      <c r="AT27" s="769"/>
      <c r="AW27" s="339">
        <v>19</v>
      </c>
      <c r="AX27" s="341">
        <f>IFERROR(VLOOKUP(AW27,'Aktuelle Einnahmen'!A20:G116,3,0),"")</f>
        <v>0</v>
      </c>
      <c r="AY27" s="777">
        <f>IFERROR(VLOOKUP(AW27,'Aktuelle Einnahmen'!A20:G122,4,0),"")</f>
        <v>0</v>
      </c>
      <c r="AZ27" s="345">
        <f t="shared" si="4"/>
        <v>0</v>
      </c>
      <c r="BA27" s="345">
        <f t="shared" si="5"/>
        <v>0</v>
      </c>
      <c r="BB27" s="345">
        <f t="shared" si="6"/>
        <v>0</v>
      </c>
      <c r="BC27" s="358">
        <f t="shared" si="7"/>
        <v>0</v>
      </c>
      <c r="BD27" s="1299"/>
      <c r="BE27" s="339">
        <v>52</v>
      </c>
      <c r="BF27" s="341">
        <f>IFERROR(VLOOKUP(BE27,'Aktuelle Einnahmen'!A27:G123,3,0),"")</f>
        <v>0</v>
      </c>
      <c r="BG27" s="777">
        <f>IFERROR(VLOOKUP(BE27,'Aktuelle Einnahmen'!A27:G123,4,0),"")</f>
        <v>0</v>
      </c>
      <c r="BH27" s="345">
        <f t="shared" si="8"/>
        <v>0</v>
      </c>
      <c r="BI27" s="345">
        <f t="shared" si="9"/>
        <v>0</v>
      </c>
      <c r="BJ27" s="345">
        <f t="shared" si="10"/>
        <v>0</v>
      </c>
      <c r="BK27" s="358">
        <f t="shared" si="11"/>
        <v>0</v>
      </c>
      <c r="BM27" s="337">
        <v>85</v>
      </c>
      <c r="BN27" s="343">
        <f>IFERROR(VLOOKUP(BM27,'Aktuelle Einnahmen'!A27:G123,3,0),"")</f>
        <v>0</v>
      </c>
      <c r="BO27" s="775">
        <f>IFERROR(VLOOKUP(BM27,'Aktuelle Einnahmen'!A27:G123,4,0),"")</f>
        <v>0</v>
      </c>
      <c r="BP27" s="345">
        <f t="shared" si="12"/>
        <v>0</v>
      </c>
      <c r="BQ27" s="345">
        <f t="shared" si="13"/>
        <v>0</v>
      </c>
      <c r="BR27" s="345">
        <f t="shared" si="14"/>
        <v>0</v>
      </c>
      <c r="BS27" s="358">
        <f t="shared" si="15"/>
        <v>0</v>
      </c>
      <c r="BT27" s="335"/>
      <c r="BU27" s="335"/>
      <c r="BV27" s="335"/>
      <c r="BW27" s="335"/>
      <c r="BX27" s="335"/>
      <c r="BY27" s="335"/>
      <c r="BZ27" s="335"/>
      <c r="CA27" s="335"/>
      <c r="CB27" s="335"/>
      <c r="CC27" s="335"/>
      <c r="CD27" s="335"/>
      <c r="CE27" s="335"/>
      <c r="CF27" s="335"/>
      <c r="CG27" s="335"/>
      <c r="CH27" s="335"/>
      <c r="CI27" s="335"/>
    </row>
    <row r="28" spans="1:87" ht="22.25" customHeight="1">
      <c r="A28" s="181">
        <f t="shared" si="3"/>
        <v>45292</v>
      </c>
      <c r="B28" s="485"/>
      <c r="C28" s="490"/>
      <c r="D28" s="521"/>
      <c r="E28" s="218">
        <f>DATE(YEAR(E27),MONTH(E27)+3,DAY(E27)-1)</f>
        <v>45621</v>
      </c>
      <c r="F28" s="227">
        <f t="shared" si="20"/>
        <v>25</v>
      </c>
      <c r="G28" s="228">
        <f t="shared" si="21"/>
        <v>11</v>
      </c>
      <c r="H28" s="227">
        <f t="shared" si="22"/>
        <v>2024</v>
      </c>
      <c r="I28" s="231">
        <f>IF(J25&lt;13,J25,"")</f>
        <v>11</v>
      </c>
      <c r="J28" s="230">
        <f>J26+3</f>
        <v>17</v>
      </c>
      <c r="K28" s="501" t="str">
        <f t="shared" si="19"/>
        <v>+Inflat.-P</v>
      </c>
      <c r="L28" s="508">
        <f>IF(M19="Stufe A",IF(AND(L20="Auswahl treffen",D27&gt;=0,D27&lt;=1000),J19,IF(AND(L20="Vermögend und ambulant",D27&gt;8,D27&lt;=1000),130,IF(AND(L20="Vermögend und ambulant",D27&gt;4,D27&lt;=8),158,IF(AND(L20="Vermögend und ambulant",D27&gt;2,D27&lt;=4),192,IF(AND(L20="Vermögend und ambulant",D27&gt;1,D27&lt;=2),208,IF(AND(L20="Vermögend und ambulant",D27&gt;0,D27&lt;=1),298,IF(AND(L20="Vermögend und stationär",D27&gt;8,D27&lt;=1000),78,IF(AND(L20="Vermögend und stationär",D27&gt;4,D27&lt;=8),91,IF(AND(L20="Vermögend und stationär",D27&gt;2,D27&lt;=4),140,IF(AND(L20="Vermögend und stationär",D27&gt;1,D27&lt;=2),158,IF(AND(L20="Vermögend und stationär",D27&gt;0,D27&lt;=1),200,IF(AND(L20="Mittellos und ambulant",D27&gt;8,D27&lt;=1000),105,IF(AND(L20="Mittellos und ambulant",D27&gt;4,D27&lt;=8),122,IF(AND(L20="Mittellos und ambulant",D27&gt;2,D27&lt;=4),151,IF(AND(L20="Mittellos und ambulant",D27&gt;1,D27&lt;=2),170,IF(AND(L20="Mittellos und ambulant",D27&gt;0,D27&lt;=1),208,IF(AND(L20="Mittellos und stationär",D27&gt;8,D27&lt;=1000),62,IF(AND(L20="Mittellos und stationär",D27&gt;4,D27&lt;=8),87,IF(AND(L20="Mittellos und stationär",D27&gt;2,D27&lt;=4),124,IF(AND(L20="Mittellos und stationär",D27&gt;1,D27&lt;=2),129,IF(AND(L20="Mittellos und stationär",D27&gt;0,D27&lt;=1),194,""))))))))))))))))))))),IF(M19="Stufe B",IF(AND(L20="Auswahl treffen",D27&gt;=0,D27&lt;=1000),J19,IF(AND(L20="Vermögend und ambulant",D27&gt;8,D27&lt;=1000),161,IF(AND(L20="Vermögend und ambulant",D27&gt;4,D27&lt;=8),196,IF(AND(L20="Vermögend und ambulant",D27&gt;2,D27&lt;=4),238,IF(AND(L20="Vermögend und ambulant",D27&gt;1,D27&lt;=2),258,IF(AND(L20="Vermögend und ambulant",D27&gt;0,D27&lt;=1),370,IF(AND(L20="Vermögend und stationär",D27&gt;8,D27&lt;=1000),96,IF(AND(L20="Vermögend und stationär",D27&gt;4,D27&lt;=8),113,IF(AND(L20="Vermögend und stationär",D27&gt;2,D27&lt;=4),174,IF(AND(L20="Vermögend und stationär",D27&gt;1,D27&lt;=2),196,IF(AND(L20="Vermögend und stationär",D27&gt;0,D27&lt;=1),249,IF(AND(L20="Mittellos und ambulant",D27&gt;8,D27&lt;=1000),130,IF(AND(L20="Mittellos und ambulant",D27&gt;4,D27&lt;=8),151,IF(AND(L20="Mittellos und ambulant",D27&gt;2,D27&lt;=4),188,IF(AND(L20="Mittellos und ambulant",D27&gt;1,D27&lt;=2),211,IF(AND(L20="Mittellos und ambulant",D27&gt;0,D27&lt;=1),258,IF(AND(L20="Mittellos und stationär",D27&gt;8,D27&lt;=1000),78,IF(AND(L20="Mittellos und stationär",D27&gt;4,D27&lt;=8),107,IF(AND(L20="Mittellos und stationär",D27&gt;2,D27&lt;=4),154,IF(AND(L20="Mittellos und stationär",D27&gt;1,D27&lt;=2),158,IF(AND(L20="Mittellos und stationär",D27&gt;0,D27&lt;=1),241,""))))))))))))))))))))),IF(M19="Stufe C",IF(AND(L20="Auswahl treffen",D27&gt;=0,D27&lt;=1000),J19,IF(AND(L20="Vermögend und ambulant",D27&gt;8,D27&lt;=1000),211,IF(AND(L20="Vermögend und ambulant",D27&gt;4,D27&lt;=8),257,IF(AND(L20="Vermögend und ambulant",D27&gt;2,D27&lt;=4),312,IF(AND(L20="Vermögend und ambulant",D27&gt;1,D27&lt;=2),339,IF(AND(L20="Vermögend und ambulant",D27&gt;0,D27&lt;=1),486,IF(AND(L20="Vermögend und stationär",D27&gt;8,D27&lt;=1000),127,IF(AND(L20="Vermögend und stationär",D27&gt;4,D27&lt;=8),149,IF(AND(L20="Vermögend und stationär",D27&gt;2,D27&lt;=4),229,IF(AND(L20="Vermögend und stationär",D27&gt;1,D27&lt;=2),257,IF(AND(L20="Vermögend und stationär",D27&gt;0,D27&lt;=1),327,IF(AND(L20="Mittellos und ambulant",D27&gt;8,D27&lt;=1000),171,IF(AND(L20="Mittellos und ambulant",D27&gt;4,D27&lt;=8),198,IF(AND(L20="Mittellos und ambulant",D27&gt;2,D27&lt;=4),246,IF(AND(L20="Mittellos und ambulant",D27&gt;1,D27&lt;=2),277,IF(AND(L20="Mittellos und ambulant",D27&gt;0,D27&lt;=1),339,IF(AND(L20="Mittellos und stationär",D27&gt;8,D27&lt;=1000),102,IF(AND(L20="Mittellos und stationär",D27&gt;4,D27&lt;=8),141,IF(AND(L20="Mittellos und stationär",D27&gt;2,D27&lt;=4),202,IF(AND(L20="Mittellos und stationär",D27&gt;1,D27&lt;=2),208,IF(AND(L20="Mittellos und stationär",D27&gt;0,D27&lt;=1),317,""))))))))))))))))))))),"")))*3+(J19*90)</f>
        <v>381</v>
      </c>
      <c r="M28" s="507" t="str">
        <f>CONCATENATE(K28, K27)</f>
        <v>+Inflat.-P+§10</v>
      </c>
      <c r="N28" s="216"/>
      <c r="O28" s="188"/>
      <c r="P28" s="188"/>
      <c r="Q28" s="217" t="s">
        <v>118</v>
      </c>
      <c r="R28" s="189"/>
      <c r="S28" s="190"/>
      <c r="T28" s="190"/>
      <c r="U28" s="191"/>
      <c r="V28" s="192"/>
      <c r="W28" s="190"/>
      <c r="X28" s="190"/>
      <c r="Y28" s="191"/>
      <c r="Z28" s="192"/>
      <c r="AA28" s="190"/>
      <c r="AB28" s="190"/>
      <c r="AC28" s="191"/>
      <c r="AD28" s="192"/>
      <c r="AE28" s="190" t="s">
        <v>118</v>
      </c>
      <c r="AF28" s="190" t="s">
        <v>117</v>
      </c>
      <c r="AG28" s="191" t="s">
        <v>26</v>
      </c>
      <c r="AH28" s="193"/>
      <c r="AI28" s="190" t="s">
        <v>118</v>
      </c>
      <c r="AJ28" s="190" t="s">
        <v>117</v>
      </c>
      <c r="AK28" s="374" t="s">
        <v>26</v>
      </c>
      <c r="AL28" s="348" t="s">
        <v>151</v>
      </c>
      <c r="AM28" s="354"/>
      <c r="AN28" s="354"/>
      <c r="AO28" s="354"/>
      <c r="AP28" s="354">
        <f>IF(SUM(Q20:Q28)=SUM(AE20:AE28,AI20:AI28), 0, SUM(Q20:Q28)-SUM(AE20:AE28,AI20:AI28))</f>
        <v>0</v>
      </c>
      <c r="AQ28" s="350">
        <f>AM28+AN28+AO28+AP28</f>
        <v>0</v>
      </c>
      <c r="AR28" s="769"/>
      <c r="AS28" s="769"/>
      <c r="AT28" s="769"/>
      <c r="AW28" s="339">
        <v>20</v>
      </c>
      <c r="AX28" s="341">
        <f>IFERROR(VLOOKUP(AW28,'Aktuelle Einnahmen'!A21:G117,3,0),"")</f>
        <v>0</v>
      </c>
      <c r="AY28" s="777">
        <f>IFERROR(VLOOKUP(AW28,'Aktuelle Einnahmen'!A21:G123,4,0),"")</f>
        <v>0</v>
      </c>
      <c r="AZ28" s="345">
        <f t="shared" si="4"/>
        <v>0</v>
      </c>
      <c r="BA28" s="345">
        <f t="shared" si="5"/>
        <v>0</v>
      </c>
      <c r="BB28" s="345">
        <f t="shared" si="6"/>
        <v>0</v>
      </c>
      <c r="BC28" s="358">
        <f t="shared" si="7"/>
        <v>0</v>
      </c>
      <c r="BD28" s="1299"/>
      <c r="BE28" s="339">
        <v>53</v>
      </c>
      <c r="BF28" s="341">
        <f>IFERROR(VLOOKUP(BE28,'Aktuelle Einnahmen'!A28:G124,3,0),"")</f>
        <v>0</v>
      </c>
      <c r="BG28" s="777">
        <f>IFERROR(VLOOKUP(BE28,'Aktuelle Einnahmen'!A28:G124,4,0),"")</f>
        <v>0</v>
      </c>
      <c r="BH28" s="345">
        <f t="shared" si="8"/>
        <v>0</v>
      </c>
      <c r="BI28" s="345">
        <f t="shared" si="9"/>
        <v>0</v>
      </c>
      <c r="BJ28" s="345">
        <f t="shared" si="10"/>
        <v>0</v>
      </c>
      <c r="BK28" s="358">
        <f t="shared" si="11"/>
        <v>0</v>
      </c>
      <c r="BM28" s="337">
        <v>86</v>
      </c>
      <c r="BN28" s="343">
        <f>IFERROR(VLOOKUP(BM28,'Aktuelle Einnahmen'!A28:G124,3,0),"")</f>
        <v>0</v>
      </c>
      <c r="BO28" s="775">
        <f>IFERROR(VLOOKUP(BM28,'Aktuelle Einnahmen'!A28:G124,4,0),"")</f>
        <v>0</v>
      </c>
      <c r="BP28" s="345">
        <f t="shared" si="12"/>
        <v>0</v>
      </c>
      <c r="BQ28" s="345">
        <f t="shared" si="13"/>
        <v>0</v>
      </c>
      <c r="BR28" s="345">
        <f t="shared" si="14"/>
        <v>0</v>
      </c>
      <c r="BS28" s="358">
        <f t="shared" si="15"/>
        <v>0</v>
      </c>
      <c r="BT28" s="335"/>
      <c r="BU28" s="335"/>
      <c r="BV28" s="335"/>
      <c r="BW28" s="335"/>
      <c r="BX28" s="335"/>
      <c r="BY28" s="335"/>
      <c r="BZ28" s="335"/>
      <c r="CA28" s="335"/>
      <c r="CB28" s="335"/>
      <c r="CC28" s="335"/>
      <c r="CD28" s="335"/>
      <c r="CE28" s="335"/>
      <c r="CF28" s="335"/>
      <c r="CG28" s="335"/>
      <c r="CH28" s="335"/>
      <c r="CI28" s="335"/>
    </row>
    <row r="29" spans="1:87" ht="22" customHeight="1">
      <c r="A29" s="181">
        <f t="shared" si="3"/>
        <v>45292</v>
      </c>
      <c r="B29" s="474" t="s">
        <v>74</v>
      </c>
      <c r="C29" s="475" t="s">
        <v>75</v>
      </c>
      <c r="D29" s="476" t="s">
        <v>76</v>
      </c>
      <c r="E29" s="477" t="s">
        <v>11</v>
      </c>
      <c r="F29" s="477" t="s">
        <v>4</v>
      </c>
      <c r="G29" s="477" t="s">
        <v>5</v>
      </c>
      <c r="H29" s="477" t="s">
        <v>6</v>
      </c>
      <c r="I29" s="478" t="s">
        <v>77</v>
      </c>
      <c r="J29" s="479"/>
      <c r="K29" s="506" t="str">
        <f t="shared" si="19"/>
        <v>+§10</v>
      </c>
      <c r="L29" s="479" t="str">
        <f>IFERROR(VLOOKUP(B30,'Aktuelle Einnahmen'!A2:J104,10,0),"")</f>
        <v/>
      </c>
      <c r="M29" s="512" t="str">
        <f>M19</f>
        <v>Stufe C</v>
      </c>
      <c r="N29" s="237"/>
      <c r="O29" s="238"/>
      <c r="P29" s="238"/>
      <c r="Q29" s="239"/>
      <c r="R29" s="240"/>
      <c r="S29" s="241"/>
      <c r="T29" s="241"/>
      <c r="U29" s="242"/>
      <c r="V29" s="243"/>
      <c r="W29" s="241"/>
      <c r="X29" s="241"/>
      <c r="Y29" s="242"/>
      <c r="Z29" s="243"/>
      <c r="AA29" s="241"/>
      <c r="AB29" s="241"/>
      <c r="AC29" s="242"/>
      <c r="AD29" s="243"/>
      <c r="AE29" s="241"/>
      <c r="AF29" s="241"/>
      <c r="AG29" s="242"/>
      <c r="AH29" s="240"/>
      <c r="AI29" s="241"/>
      <c r="AJ29" s="241"/>
      <c r="AK29" s="377"/>
      <c r="AL29" s="347"/>
      <c r="AM29" s="353"/>
      <c r="AN29" s="353"/>
      <c r="AO29" s="353"/>
      <c r="AP29" s="353"/>
      <c r="AQ29" s="349"/>
      <c r="AR29" s="768"/>
      <c r="AS29" s="768"/>
      <c r="AT29" s="768"/>
      <c r="AW29" s="339">
        <v>21</v>
      </c>
      <c r="AX29" s="341">
        <f>IFERROR(VLOOKUP(AW29,'Aktuelle Einnahmen'!A22:G118,3,0),"")</f>
        <v>0</v>
      </c>
      <c r="AY29" s="777">
        <f>IFERROR(VLOOKUP(AW29,'Aktuelle Einnahmen'!A22:G124,4,0),"")</f>
        <v>0</v>
      </c>
      <c r="AZ29" s="345">
        <f t="shared" si="4"/>
        <v>0</v>
      </c>
      <c r="BA29" s="345">
        <f t="shared" si="5"/>
        <v>0</v>
      </c>
      <c r="BB29" s="345">
        <f t="shared" si="6"/>
        <v>0</v>
      </c>
      <c r="BC29" s="358">
        <f t="shared" si="7"/>
        <v>0</v>
      </c>
      <c r="BD29" s="1299"/>
      <c r="BE29" s="339">
        <v>54</v>
      </c>
      <c r="BF29" s="341">
        <f>IFERROR(VLOOKUP(BE29,'Aktuelle Einnahmen'!A29:G125,3,0),"")</f>
        <v>0</v>
      </c>
      <c r="BG29" s="777">
        <f>IFERROR(VLOOKUP(BE29,'Aktuelle Einnahmen'!A29:G125,4,0),"")</f>
        <v>0</v>
      </c>
      <c r="BH29" s="345">
        <f t="shared" si="8"/>
        <v>0</v>
      </c>
      <c r="BI29" s="345">
        <f t="shared" si="9"/>
        <v>0</v>
      </c>
      <c r="BJ29" s="345">
        <f t="shared" si="10"/>
        <v>0</v>
      </c>
      <c r="BK29" s="358">
        <f t="shared" si="11"/>
        <v>0</v>
      </c>
      <c r="BM29" s="337">
        <v>87</v>
      </c>
      <c r="BN29" s="343">
        <f>IFERROR(VLOOKUP(BM29,'Aktuelle Einnahmen'!A29:G125,3,0),"")</f>
        <v>0</v>
      </c>
      <c r="BO29" s="775">
        <f>IFERROR(VLOOKUP(BM29,'Aktuelle Einnahmen'!A29:G125,4,0),"")</f>
        <v>0</v>
      </c>
      <c r="BP29" s="345">
        <f t="shared" si="12"/>
        <v>0</v>
      </c>
      <c r="BQ29" s="345">
        <f t="shared" si="13"/>
        <v>0</v>
      </c>
      <c r="BR29" s="345">
        <f t="shared" si="14"/>
        <v>0</v>
      </c>
      <c r="BS29" s="358">
        <f t="shared" si="15"/>
        <v>0</v>
      </c>
      <c r="BT29" s="335"/>
      <c r="BU29" s="335"/>
      <c r="BV29" s="335"/>
      <c r="BW29" s="335"/>
      <c r="BX29" s="335"/>
      <c r="BY29" s="335"/>
      <c r="BZ29" s="335"/>
      <c r="CA29" s="335"/>
      <c r="CB29" s="335"/>
      <c r="CC29" s="335"/>
      <c r="CD29" s="335"/>
      <c r="CE29" s="335"/>
      <c r="CF29" s="335"/>
      <c r="CG29" s="335"/>
      <c r="CH29" s="335"/>
      <c r="CI29" s="335"/>
    </row>
    <row r="30" spans="1:87" ht="23" customHeight="1">
      <c r="A30" s="181">
        <f t="shared" si="3"/>
        <v>45292</v>
      </c>
      <c r="B30" s="182">
        <v>3</v>
      </c>
      <c r="C30" s="183" t="str">
        <f>IFERROR(VLOOKUP($B30,'Aktuelle Einnahmen'!A2:G104,3,0),"")</f>
        <v>Carter</v>
      </c>
      <c r="D30" s="184" t="str">
        <f>IFERROR(VLOOKUP($B30,'Aktuelle Einnahmen'!A2:G104,2,0),"")</f>
        <v>Charlotte</v>
      </c>
      <c r="E30" s="185" t="str">
        <f>IFERROR(VLOOKUP($B30,'Aktuelle Einnahmen'!A2:G104,4,0),"")</f>
        <v>8 XVII 19/06 C</v>
      </c>
      <c r="F30" s="94">
        <f>IFERROR(VLOOKUP($B30,'Aktuelle Einnahmen'!A2:G104,5,0),"")</f>
        <v>20</v>
      </c>
      <c r="G30" s="94">
        <f>IFERROR(VLOOKUP($B30,'Aktuelle Einnahmen'!A2:G104,6,0),"")</f>
        <v>11</v>
      </c>
      <c r="H30" s="94">
        <f>IFERROR(VLOOKUP($B30,'Aktuelle Einnahmen'!A2:G104,7,0),"")</f>
        <v>20</v>
      </c>
      <c r="I30" s="186">
        <f>DATE(H30,G30,F30)</f>
        <v>7630</v>
      </c>
      <c r="J30" s="472">
        <f ca="1">J20</f>
        <v>45475</v>
      </c>
      <c r="K30" s="501" t="str">
        <f t="shared" si="19"/>
        <v>+Inflat.-P</v>
      </c>
      <c r="L30" s="1262" t="str">
        <f>IFERROR(VLOOKUP(B30,'Aktuelle Einnahmen'!A2:I104,9,0),"")</f>
        <v>Mittellos und stationär</v>
      </c>
      <c r="M30" s="1263"/>
      <c r="N30" s="261"/>
      <c r="O30" s="261"/>
      <c r="P30" s="261"/>
      <c r="Q30" s="261"/>
      <c r="R30" s="189"/>
      <c r="S30" s="190"/>
      <c r="T30" s="190"/>
      <c r="U30" s="191"/>
      <c r="V30" s="192"/>
      <c r="W30" s="190"/>
      <c r="X30" s="190"/>
      <c r="Y30" s="191"/>
      <c r="Z30" s="192"/>
      <c r="AA30" s="190"/>
      <c r="AB30" s="190"/>
      <c r="AC30" s="191"/>
      <c r="AD30" s="192"/>
      <c r="AE30" s="190"/>
      <c r="AF30" s="190"/>
      <c r="AG30" s="191"/>
      <c r="AH30" s="193"/>
      <c r="AI30" s="190"/>
      <c r="AJ30" s="190"/>
      <c r="AK30" s="374"/>
      <c r="AL30" s="348"/>
      <c r="AM30" s="354"/>
      <c r="AN30" s="354"/>
      <c r="AO30" s="354"/>
      <c r="AP30" s="354"/>
      <c r="AQ30" s="350"/>
      <c r="AR30" s="769"/>
      <c r="AS30" s="769"/>
      <c r="AT30" s="769"/>
      <c r="AW30" s="339">
        <v>22</v>
      </c>
      <c r="AX30" s="341">
        <f>IFERROR(VLOOKUP(AW30,'Aktuelle Einnahmen'!A23:G119,3,0),"")</f>
        <v>0</v>
      </c>
      <c r="AY30" s="777">
        <f>IFERROR(VLOOKUP(AW30,'Aktuelle Einnahmen'!A23:G125,4,0),"")</f>
        <v>0</v>
      </c>
      <c r="AZ30" s="345">
        <f t="shared" si="4"/>
        <v>0</v>
      </c>
      <c r="BA30" s="345">
        <f t="shared" si="5"/>
        <v>0</v>
      </c>
      <c r="BB30" s="345">
        <f t="shared" si="6"/>
        <v>0</v>
      </c>
      <c r="BC30" s="358">
        <f t="shared" si="7"/>
        <v>0</v>
      </c>
      <c r="BD30" s="1299"/>
      <c r="BE30" s="339">
        <v>55</v>
      </c>
      <c r="BF30" s="341">
        <f>IFERROR(VLOOKUP(BE30,'Aktuelle Einnahmen'!A30:G126,3,0),"")</f>
        <v>0</v>
      </c>
      <c r="BG30" s="777">
        <f>IFERROR(VLOOKUP(BE30,'Aktuelle Einnahmen'!A30:G126,4,0),"")</f>
        <v>0</v>
      </c>
      <c r="BH30" s="345">
        <f t="shared" si="8"/>
        <v>0</v>
      </c>
      <c r="BI30" s="345">
        <f t="shared" si="9"/>
        <v>0</v>
      </c>
      <c r="BJ30" s="345">
        <f t="shared" si="10"/>
        <v>0</v>
      </c>
      <c r="BK30" s="358">
        <f t="shared" si="11"/>
        <v>0</v>
      </c>
      <c r="BM30" s="337">
        <v>88</v>
      </c>
      <c r="BN30" s="343">
        <f>IFERROR(VLOOKUP(BM30,'Aktuelle Einnahmen'!A30:G126,3,0),"")</f>
        <v>0</v>
      </c>
      <c r="BO30" s="775">
        <f>IFERROR(VLOOKUP(BM30,'Aktuelle Einnahmen'!A30:G126,4,0),"")</f>
        <v>0</v>
      </c>
      <c r="BP30" s="345">
        <f t="shared" si="12"/>
        <v>0</v>
      </c>
      <c r="BQ30" s="345">
        <f t="shared" si="13"/>
        <v>0</v>
      </c>
      <c r="BR30" s="345">
        <f t="shared" si="14"/>
        <v>0</v>
      </c>
      <c r="BS30" s="358">
        <f t="shared" si="15"/>
        <v>0</v>
      </c>
      <c r="BT30" s="335"/>
      <c r="BU30" s="335"/>
      <c r="BV30" s="335"/>
      <c r="BW30" s="335"/>
      <c r="BX30" s="335"/>
      <c r="BY30" s="335"/>
      <c r="BZ30" s="335"/>
      <c r="CA30" s="335"/>
      <c r="CB30" s="335"/>
      <c r="CC30" s="335"/>
      <c r="CD30" s="335"/>
      <c r="CE30" s="335"/>
      <c r="CF30" s="335"/>
      <c r="CG30" s="335"/>
      <c r="CH30" s="335"/>
      <c r="CI30" s="335"/>
    </row>
    <row r="31" spans="1:87" ht="22.25" customHeight="1">
      <c r="A31" s="181">
        <f t="shared" si="3"/>
        <v>45292</v>
      </c>
      <c r="B31" s="484">
        <f>DAY(I30)</f>
        <v>20</v>
      </c>
      <c r="C31" s="489" t="s">
        <v>158</v>
      </c>
      <c r="D31" s="520">
        <f>(I31*4)+J31/3+1</f>
        <v>13</v>
      </c>
      <c r="E31" s="194">
        <f>J33+1</f>
        <v>45251</v>
      </c>
      <c r="F31" s="195">
        <f t="shared" ref="F31:F38" si="23">DAY(E31)</f>
        <v>21</v>
      </c>
      <c r="G31" s="196">
        <f t="shared" ref="G31:G38" si="24">MONTH(E31)</f>
        <v>11</v>
      </c>
      <c r="H31" s="195">
        <f t="shared" ref="H31:H38" si="25">YEAR(E31)</f>
        <v>2023</v>
      </c>
      <c r="I31" s="197">
        <f>H31-(H30+2000)</f>
        <v>3</v>
      </c>
      <c r="J31" s="198">
        <f>G31-G30</f>
        <v>0</v>
      </c>
      <c r="K31" s="506" t="str">
        <f>L29</f>
        <v/>
      </c>
      <c r="L31" s="469"/>
      <c r="M31" s="473" t="str">
        <f ca="1">SUM(J30-E32)&amp;" Tage"</f>
        <v>133 Tage</v>
      </c>
      <c r="N31" s="206"/>
      <c r="O31" s="201"/>
      <c r="P31" s="201"/>
      <c r="Q31" s="202"/>
      <c r="R31" s="189"/>
      <c r="S31" s="203"/>
      <c r="T31" s="203"/>
      <c r="U31" s="204"/>
      <c r="V31" s="192"/>
      <c r="W31" s="203"/>
      <c r="X31" s="203"/>
      <c r="Y31" s="204"/>
      <c r="Z31" s="192"/>
      <c r="AA31" s="203"/>
      <c r="AB31" s="203"/>
      <c r="AC31" s="204"/>
      <c r="AD31" s="192"/>
      <c r="AE31" s="203"/>
      <c r="AF31" s="203"/>
      <c r="AG31" s="204"/>
      <c r="AH31" s="193"/>
      <c r="AI31" s="203"/>
      <c r="AJ31" s="203"/>
      <c r="AK31" s="375"/>
      <c r="AL31" s="348"/>
      <c r="AM31" s="354"/>
      <c r="AN31" s="354"/>
      <c r="AO31" s="354"/>
      <c r="AP31" s="354"/>
      <c r="AQ31" s="350"/>
      <c r="AR31" s="769"/>
      <c r="AS31" s="769"/>
      <c r="AT31" s="769"/>
      <c r="AW31" s="339">
        <v>23</v>
      </c>
      <c r="AX31" s="341">
        <f>IFERROR(VLOOKUP(AW31,'Aktuelle Einnahmen'!A24:G120,3,0),"")</f>
        <v>0</v>
      </c>
      <c r="AY31" s="777">
        <f>IFERROR(VLOOKUP(AW31,'Aktuelle Einnahmen'!A24:G126,4,0),"")</f>
        <v>0</v>
      </c>
      <c r="AZ31" s="345">
        <f t="shared" si="4"/>
        <v>0</v>
      </c>
      <c r="BA31" s="345">
        <f t="shared" si="5"/>
        <v>0</v>
      </c>
      <c r="BB31" s="345">
        <f t="shared" si="6"/>
        <v>0</v>
      </c>
      <c r="BC31" s="358">
        <f t="shared" si="7"/>
        <v>0</v>
      </c>
      <c r="BD31" s="1299"/>
      <c r="BE31" s="339">
        <v>56</v>
      </c>
      <c r="BF31" s="341">
        <f>IFERROR(VLOOKUP(BE31,'Aktuelle Einnahmen'!A31:G127,3,0),"")</f>
        <v>0</v>
      </c>
      <c r="BG31" s="777">
        <f>IFERROR(VLOOKUP(BE31,'Aktuelle Einnahmen'!A31:G127,4,0),"")</f>
        <v>0</v>
      </c>
      <c r="BH31" s="345">
        <f t="shared" si="8"/>
        <v>0</v>
      </c>
      <c r="BI31" s="345">
        <f t="shared" si="9"/>
        <v>0</v>
      </c>
      <c r="BJ31" s="345">
        <f t="shared" si="10"/>
        <v>0</v>
      </c>
      <c r="BK31" s="358">
        <f t="shared" si="11"/>
        <v>0</v>
      </c>
      <c r="BM31" s="337">
        <v>89</v>
      </c>
      <c r="BN31" s="343">
        <f>IFERROR(VLOOKUP(BM31,'Aktuelle Einnahmen'!A31:G127,3,0),"")</f>
        <v>0</v>
      </c>
      <c r="BO31" s="775">
        <f>IFERROR(VLOOKUP(BM31,'Aktuelle Einnahmen'!A31:G127,4,0),"")</f>
        <v>0</v>
      </c>
      <c r="BP31" s="345">
        <f t="shared" si="12"/>
        <v>0</v>
      </c>
      <c r="BQ31" s="345">
        <f t="shared" si="13"/>
        <v>0</v>
      </c>
      <c r="BR31" s="345">
        <f t="shared" si="14"/>
        <v>0</v>
      </c>
      <c r="BS31" s="358">
        <f t="shared" si="15"/>
        <v>0</v>
      </c>
      <c r="BT31" s="335"/>
      <c r="BU31" s="335"/>
      <c r="BV31" s="335"/>
      <c r="BW31" s="335"/>
      <c r="BX31" s="335"/>
      <c r="BY31" s="335"/>
      <c r="BZ31" s="335"/>
      <c r="CA31" s="335"/>
      <c r="CB31" s="335"/>
      <c r="CC31" s="335"/>
      <c r="CD31" s="335"/>
      <c r="CE31" s="335"/>
      <c r="CF31" s="335"/>
      <c r="CG31" s="335"/>
      <c r="CH31" s="335"/>
      <c r="CI31" s="335"/>
    </row>
    <row r="32" spans="1:87" ht="22.25" customHeight="1">
      <c r="A32" s="181">
        <f t="shared" si="3"/>
        <v>45292</v>
      </c>
      <c r="B32" s="485"/>
      <c r="C32" s="490"/>
      <c r="D32" s="521"/>
      <c r="E32" s="194">
        <f>DATE(YEAR(E31),MONTH(E31)+3,DAY(E31)-1)</f>
        <v>45342</v>
      </c>
      <c r="F32" s="195">
        <f t="shared" si="23"/>
        <v>20</v>
      </c>
      <c r="G32" s="196">
        <f t="shared" si="24"/>
        <v>2</v>
      </c>
      <c r="H32" s="195">
        <f t="shared" si="25"/>
        <v>2024</v>
      </c>
      <c r="I32" s="244">
        <v>-1</v>
      </c>
      <c r="J32" s="198">
        <f>F31-F30</f>
        <v>1</v>
      </c>
      <c r="K32" s="501" t="str">
        <f t="shared" si="19"/>
        <v>+Inflat.-P</v>
      </c>
      <c r="L32" s="511">
        <f>IF(M29="Stufe A",IF(AND(L30="Auswahl treffen",D31&gt;=0,D31&lt;=1000),J29,IF(AND(L30="Vermögend und ambulant",D31&gt;8,D31&lt;=1000),130,IF(AND(L30="Vermögend und ambulant",D31&gt;4,D31&lt;=8),158,IF(AND(L30="Vermögend und ambulant",D31&gt;2,D31&lt;=4),192,IF(AND(L30="Vermögend und ambulant",D31&gt;1,D31&lt;=2),208,IF(AND(L30="Vermögend und ambulant",D31&gt;0,D31&lt;=1),298,IF(AND(L30="Vermögend und stationär",D31&gt;8,D31&lt;=1000),78,IF(AND(L30="Vermögend und stationär",D31&gt;4,D31&lt;=8),91,IF(AND(L30="Vermögend und stationär",D31&gt;2,D31&lt;=4),140,IF(AND(L30="Vermögend und stationär",D31&gt;1,D31&lt;=2),158,IF(AND(L30="Vermögend und stationär",D31&gt;0,D31&lt;=1),200,IF(AND(L30="Mittellos und ambulant",D31&gt;8,D31&lt;=1000),105,IF(AND(L30="Mittellos und ambulant",D31&gt;4,D31&lt;=8),122,IF(AND(L30="Mittellos und ambulant",D31&gt;2,D31&lt;=4),151,IF(AND(L30="Mittellos und ambulant",D31&gt;1,D31&lt;=2),170,IF(AND(L30="Mittellos und ambulant",D31&gt;0,D31&lt;=1),208,IF(AND(L30="Mittellos und stationär",D31&gt;8,D31&lt;=1000),62,IF(AND(L30="Mittellos und stationär",D31&gt;4,D31&lt;=8),87,IF(AND(L30="Mittellos und stationär",D31&gt;2,D31&lt;=4),124,IF(AND(L30="Mittellos und stationär",D31&gt;1,D31&lt;=2),129,IF(AND(L30="Mittellos und stationär",D31&gt;0,D31&lt;=1),194,""))))))))))))))))))))),IF(M29="Stufe B",IF(AND(L30="Auswahl treffen",D31&gt;=0,D31&lt;=1000),J29,IF(AND(L30="Vermögend und ambulant",D31&gt;8,D31&lt;=1000),161,IF(AND(L30="Vermögend und ambulant",D31&gt;4,D31&lt;=8),196,IF(AND(L30="Vermögend und ambulant",D31&gt;2,D31&lt;=4),238,IF(AND(L30="Vermögend und ambulant",D31&gt;1,D31&lt;=2),258,IF(AND(L30="Vermögend und ambulant",D31&gt;0,D31&lt;=1),370,IF(AND(L30="Vermögend und stationär",D31&gt;8,D31&lt;=1000),96,IF(AND(L30="Vermögend und stationär",D31&gt;4,D31&lt;=8),113,IF(AND(L30="Vermögend und stationär",D31&gt;2,D31&lt;=4),174,IF(AND(L30="Vermögend und stationär",D31&gt;1,D31&lt;=2),196,IF(AND(L30="Vermögend und stationär",D31&gt;0,D31&lt;=1),249,IF(AND(L30="Mittellos und ambulant",D31&gt;8,D31&lt;=1000),130,IF(AND(L30="Mittellos und ambulant",D31&gt;4,D31&lt;=8),151,IF(AND(L30="Mittellos und ambulant",D31&gt;2,D31&lt;=4),188,IF(AND(L30="Mittellos und ambulant",D31&gt;1,D31&lt;=2),211,IF(AND(L30="Mittellos und ambulant",D31&gt;0,D31&lt;=1),258,IF(AND(L30="Mittellos und stationär",D31&gt;8,D31&lt;=1000),78,IF(AND(L30="Mittellos und stationär",D31&gt;4,D31&lt;=8),107,IF(AND(L30="Mittellos und stationär",D31&gt;2,D31&lt;=4),154,IF(AND(L30="Mittellos und stationär",D31&gt;1,D31&lt;=2),158,IF(AND(L30="Mittellos und stationär",D31&gt;0,D31&lt;=1),241,""))))))))))))))))))))),IF(M29="Stufe C",IF(AND(L30="Auswahl treffen",D31&gt;=0,D31&lt;=1000),J29,IF(AND(L30="Vermögend und ambulant",D31&gt;8,D31&lt;=1000),211,IF(AND(L30="Vermögend und ambulant",D31&gt;4,D31&lt;=8),257,IF(AND(L30="Vermögend und ambulant",D31&gt;2,D31&lt;=4),312,IF(AND(L30="Vermögend und ambulant",D31&gt;1,D31&lt;=2),339,IF(AND(L30="Vermögend und ambulant",D31&gt;0,D31&lt;=1),486,IF(AND(L30="Vermögend und stationär",D31&gt;8,D31&lt;=1000),127,IF(AND(L30="Vermögend und stationär",D31&gt;4,D31&lt;=8),149,IF(AND(L30="Vermögend und stationär",D31&gt;2,D31&lt;=4),229,IF(AND(L30="Vermögend und stationär",D31&gt;1,D31&lt;=2),257,IF(AND(L30="Vermögend und stationär",D31&gt;0,D31&lt;=1),327,IF(AND(L30="Mittellos und ambulant",D31&gt;8,D31&lt;=1000),171,IF(AND(L30="Mittellos und ambulant",D31&gt;4,D31&lt;=8),198,IF(AND(L30="Mittellos und ambulant",D31&gt;2,D31&lt;=4),246,IF(AND(L30="Mittellos und ambulant",D31&gt;1,D31&lt;=2),277,IF(AND(L30="Mittellos und ambulant",D31&gt;0,D31&lt;=1),339,IF(AND(L30="Mittellos und stationär",D31&gt;8,D31&lt;=1000),102,IF(AND(L30="Mittellos und stationär",D31&gt;4,D31&lt;=8),141,IF(AND(L30="Mittellos und stationär",D31&gt;2,D31&lt;=4),202,IF(AND(L30="Mittellos und stationär",D31&gt;1,D31&lt;=2),208,IF(AND(L30="Mittellos und stationär",D31&gt;0,D31&lt;=1),317,""))))))))))))))))))))),"")))*3+(J29*90)</f>
        <v>306</v>
      </c>
      <c r="M32" s="507" t="str">
        <f>CONCATENATE(K32, K31)</f>
        <v>+Inflat.-P</v>
      </c>
      <c r="N32" s="206" t="s">
        <v>118</v>
      </c>
      <c r="O32" s="207"/>
      <c r="P32" s="207"/>
      <c r="Q32" s="208"/>
      <c r="R32" s="187"/>
      <c r="S32" s="209" t="s">
        <v>118</v>
      </c>
      <c r="T32" s="201" t="s">
        <v>117</v>
      </c>
      <c r="U32" s="210" t="s">
        <v>26</v>
      </c>
      <c r="V32" s="192"/>
      <c r="W32" s="203"/>
      <c r="X32" s="203"/>
      <c r="Y32" s="210"/>
      <c r="Z32" s="192"/>
      <c r="AA32" s="203"/>
      <c r="AB32" s="203"/>
      <c r="AC32" s="210"/>
      <c r="AD32" s="192"/>
      <c r="AE32" s="203"/>
      <c r="AF32" s="203"/>
      <c r="AG32" s="210"/>
      <c r="AH32" s="193"/>
      <c r="AI32" s="203"/>
      <c r="AJ32" s="203"/>
      <c r="AK32" s="376"/>
      <c r="AL32" s="348" t="s">
        <v>148</v>
      </c>
      <c r="AM32" s="354">
        <f>IF(SUM(N30:N38)=SUM(S30:S38), 0, SUM(N30:N38)-SUM(S30:S38))</f>
        <v>0</v>
      </c>
      <c r="AN32" s="354"/>
      <c r="AO32" s="354"/>
      <c r="AP32" s="354"/>
      <c r="AQ32" s="350">
        <f>AM32+AN32+AO32+AP32</f>
        <v>0</v>
      </c>
      <c r="AR32" s="769"/>
      <c r="AS32" s="769"/>
      <c r="AT32" s="769"/>
      <c r="AW32" s="339">
        <v>24</v>
      </c>
      <c r="AX32" s="341">
        <f>IFERROR(VLOOKUP(AW32,'Aktuelle Einnahmen'!A25:G121,3,0),"")</f>
        <v>0</v>
      </c>
      <c r="AY32" s="777">
        <f>IFERROR(VLOOKUP(AW32,'Aktuelle Einnahmen'!A25:G127,4,0),"")</f>
        <v>0</v>
      </c>
      <c r="AZ32" s="345">
        <f t="shared" si="4"/>
        <v>0</v>
      </c>
      <c r="BA32" s="345">
        <f t="shared" si="5"/>
        <v>0</v>
      </c>
      <c r="BB32" s="345">
        <f t="shared" si="6"/>
        <v>0</v>
      </c>
      <c r="BC32" s="358">
        <f t="shared" si="7"/>
        <v>0</v>
      </c>
      <c r="BD32" s="1299"/>
      <c r="BE32" s="339">
        <v>57</v>
      </c>
      <c r="BF32" s="341">
        <f>IFERROR(VLOOKUP(BE32,'Aktuelle Einnahmen'!A32:G128,3,0),"")</f>
        <v>0</v>
      </c>
      <c r="BG32" s="777">
        <f>IFERROR(VLOOKUP(BE32,'Aktuelle Einnahmen'!A32:G128,4,0),"")</f>
        <v>0</v>
      </c>
      <c r="BH32" s="345">
        <f t="shared" si="8"/>
        <v>0</v>
      </c>
      <c r="BI32" s="345">
        <f t="shared" si="9"/>
        <v>0</v>
      </c>
      <c r="BJ32" s="345">
        <f t="shared" si="10"/>
        <v>0</v>
      </c>
      <c r="BK32" s="358">
        <f t="shared" si="11"/>
        <v>0</v>
      </c>
      <c r="BM32" s="337">
        <v>90</v>
      </c>
      <c r="BN32" s="343">
        <f>IFERROR(VLOOKUP(BM32,'Aktuelle Einnahmen'!A32:G128,3,0),"")</f>
        <v>0</v>
      </c>
      <c r="BO32" s="775">
        <f>IFERROR(VLOOKUP(BM32,'Aktuelle Einnahmen'!A32:G128,4,0),"")</f>
        <v>0</v>
      </c>
      <c r="BP32" s="345">
        <f t="shared" si="12"/>
        <v>0</v>
      </c>
      <c r="BQ32" s="345">
        <f t="shared" si="13"/>
        <v>0</v>
      </c>
      <c r="BR32" s="345">
        <f t="shared" si="14"/>
        <v>0</v>
      </c>
      <c r="BS32" s="358">
        <f t="shared" si="15"/>
        <v>0</v>
      </c>
      <c r="BT32" s="335"/>
      <c r="BU32" s="335"/>
      <c r="BV32" s="335"/>
      <c r="BW32" s="335"/>
      <c r="BX32" s="335"/>
      <c r="BY32" s="335"/>
      <c r="BZ32" s="335"/>
      <c r="CA32" s="335"/>
      <c r="CB32" s="335"/>
      <c r="CC32" s="335"/>
      <c r="CD32" s="335"/>
      <c r="CE32" s="335"/>
      <c r="CF32" s="335"/>
      <c r="CG32" s="335"/>
      <c r="CH32" s="335"/>
      <c r="CI32" s="335"/>
    </row>
    <row r="33" spans="1:87" ht="22.25" customHeight="1">
      <c r="A33" s="181">
        <f t="shared" si="3"/>
        <v>45292</v>
      </c>
      <c r="B33" s="484">
        <f>MONTH(I30)</f>
        <v>11</v>
      </c>
      <c r="C33" s="489" t="s">
        <v>158</v>
      </c>
      <c r="D33" s="522">
        <f>D31+1</f>
        <v>14</v>
      </c>
      <c r="E33" s="211">
        <f>DATE(YEAR(E32),MONTH(E32),DAY(E32)+1)</f>
        <v>45343</v>
      </c>
      <c r="F33" s="212">
        <f t="shared" si="23"/>
        <v>21</v>
      </c>
      <c r="G33" s="213">
        <f t="shared" si="24"/>
        <v>2</v>
      </c>
      <c r="H33" s="212">
        <f t="shared" si="25"/>
        <v>2024</v>
      </c>
      <c r="I33" s="214" t="str">
        <f>IF(D30&lt;&gt;0,"-1T","")</f>
        <v>-1T</v>
      </c>
      <c r="J33" s="215">
        <f>DATE($B35,I34,$B31)</f>
        <v>45250</v>
      </c>
      <c r="K33" s="501" t="str">
        <f t="shared" si="19"/>
        <v/>
      </c>
      <c r="L33" s="470"/>
      <c r="M33" s="473" t="str">
        <f ca="1">SUM(J30-E34)&amp;" Tage"</f>
        <v>43 Tage</v>
      </c>
      <c r="N33" s="216"/>
      <c r="O33" s="217"/>
      <c r="P33" s="188"/>
      <c r="Q33" s="217"/>
      <c r="R33" s="189"/>
      <c r="S33" s="190"/>
      <c r="T33" s="190"/>
      <c r="U33" s="191"/>
      <c r="V33" s="192"/>
      <c r="W33" s="190"/>
      <c r="X33" s="190"/>
      <c r="Y33" s="191"/>
      <c r="Z33" s="192"/>
      <c r="AA33" s="190"/>
      <c r="AB33" s="190"/>
      <c r="AC33" s="191"/>
      <c r="AD33" s="192"/>
      <c r="AE33" s="190"/>
      <c r="AF33" s="190"/>
      <c r="AG33" s="191"/>
      <c r="AH33" s="193"/>
      <c r="AI33" s="190"/>
      <c r="AJ33" s="190"/>
      <c r="AK33" s="374"/>
      <c r="AL33" s="348"/>
      <c r="AM33" s="354"/>
      <c r="AN33" s="354"/>
      <c r="AO33" s="354"/>
      <c r="AP33" s="354"/>
      <c r="AQ33" s="350"/>
      <c r="AR33" s="769"/>
      <c r="AS33" s="769"/>
      <c r="AT33" s="769"/>
      <c r="AW33" s="339">
        <v>25</v>
      </c>
      <c r="AX33" s="341">
        <f>IFERROR(VLOOKUP(AW33,'Aktuelle Einnahmen'!A26:G122,3,0),"")</f>
        <v>0</v>
      </c>
      <c r="AY33" s="777">
        <f>IFERROR(VLOOKUP(AW33,'Aktuelle Einnahmen'!A26:G128,4,0),"")</f>
        <v>0</v>
      </c>
      <c r="AZ33" s="345">
        <f t="shared" si="4"/>
        <v>0</v>
      </c>
      <c r="BA33" s="345">
        <f t="shared" si="5"/>
        <v>0</v>
      </c>
      <c r="BB33" s="345">
        <f t="shared" si="6"/>
        <v>0</v>
      </c>
      <c r="BC33" s="358">
        <f t="shared" si="7"/>
        <v>0</v>
      </c>
      <c r="BD33" s="1299"/>
      <c r="BE33" s="339">
        <v>58</v>
      </c>
      <c r="BF33" s="341">
        <f>IFERROR(VLOOKUP(BE33,'Aktuelle Einnahmen'!A33:G129,3,0),"")</f>
        <v>0</v>
      </c>
      <c r="BG33" s="777">
        <f>IFERROR(VLOOKUP(BE33,'Aktuelle Einnahmen'!A33:G129,4,0),"")</f>
        <v>0</v>
      </c>
      <c r="BH33" s="345">
        <f t="shared" si="8"/>
        <v>0</v>
      </c>
      <c r="BI33" s="345">
        <f t="shared" si="9"/>
        <v>0</v>
      </c>
      <c r="BJ33" s="345">
        <f t="shared" si="10"/>
        <v>0</v>
      </c>
      <c r="BK33" s="358">
        <f t="shared" si="11"/>
        <v>0</v>
      </c>
      <c r="BM33" s="337">
        <v>91</v>
      </c>
      <c r="BN33" s="343">
        <f>IFERROR(VLOOKUP(BM33,'Aktuelle Einnahmen'!A33:G129,3,0),"")</f>
        <v>0</v>
      </c>
      <c r="BO33" s="775">
        <f>IFERROR(VLOOKUP(BM33,'Aktuelle Einnahmen'!A33:G129,4,0),"")</f>
        <v>0</v>
      </c>
      <c r="BP33" s="345">
        <f t="shared" si="12"/>
        <v>0</v>
      </c>
      <c r="BQ33" s="345">
        <f t="shared" si="13"/>
        <v>0</v>
      </c>
      <c r="BR33" s="345">
        <f t="shared" si="14"/>
        <v>0</v>
      </c>
      <c r="BS33" s="358">
        <f t="shared" si="15"/>
        <v>0</v>
      </c>
      <c r="BT33" s="335"/>
      <c r="BU33" s="335"/>
      <c r="BV33" s="335"/>
      <c r="BW33" s="335"/>
      <c r="BX33" s="335"/>
      <c r="BY33" s="335"/>
      <c r="BZ33" s="335"/>
      <c r="CA33" s="335"/>
      <c r="CB33" s="335"/>
      <c r="CC33" s="335"/>
      <c r="CD33" s="335"/>
      <c r="CE33" s="335"/>
      <c r="CF33" s="335"/>
      <c r="CG33" s="335"/>
      <c r="CH33" s="335"/>
      <c r="CI33" s="335"/>
    </row>
    <row r="34" spans="1:87" ht="22.25" customHeight="1">
      <c r="A34" s="181">
        <f t="shared" si="3"/>
        <v>45292</v>
      </c>
      <c r="B34" s="485"/>
      <c r="C34" s="490"/>
      <c r="D34" s="521"/>
      <c r="E34" s="218">
        <f>DATE(YEAR(E33),MONTH(E33)+3,DAY(E33)-1)</f>
        <v>45432</v>
      </c>
      <c r="F34" s="212">
        <f t="shared" si="23"/>
        <v>20</v>
      </c>
      <c r="G34" s="213">
        <f t="shared" si="24"/>
        <v>5</v>
      </c>
      <c r="H34" s="212">
        <f t="shared" si="25"/>
        <v>2024</v>
      </c>
      <c r="I34" s="219">
        <f>MAX(I35:I38)</f>
        <v>11</v>
      </c>
      <c r="J34" s="220">
        <f>DATE(YEAR(J33)+1,MONTH(J33),DAY(J33))</f>
        <v>45616</v>
      </c>
      <c r="K34" s="506" t="str">
        <f t="shared" si="19"/>
        <v>+Inflat.-P</v>
      </c>
      <c r="L34" s="508">
        <f>IF(M29="Stufe A",IF(AND(L30="Auswahl treffen",D33&gt;=0,D33&lt;=1000),J29,IF(AND(L30="Vermögend und ambulant",D33&gt;8,D33&lt;=1000),130,IF(AND(L30="Vermögend und ambulant",D33&gt;4,D33&lt;=8),158,IF(AND(L30="Vermögend und ambulant",D33&gt;2,D33&lt;=4),192,IF(AND(L30="Vermögend und ambulant",D33&gt;1,D33&lt;=2),208,IF(AND(L30="Vermögend und ambulant",D33&gt;0,D33&lt;=1),298,IF(AND(L30="Vermögend und stationär",D33&gt;8,D33&lt;=1000),78,IF(AND(L30="Vermögend und stationär",D33&gt;4,D33&lt;=8),91,IF(AND(L30="Vermögend und stationär",D33&gt;2,D33&lt;=4),140,IF(AND(L30="Vermögend und stationär",D33&gt;1,D33&lt;=2),158,IF(AND(L30="Vermögend und stationär",D33&gt;0,D33&lt;=1),200,IF(AND(L30="Mittellos und ambulant",D33&gt;8,D33&lt;=1000),105,IF(AND(L30="Mittellos und ambulant",D33&gt;4,D33&lt;=8),122,IF(AND(L30="Mittellos und ambulant",D33&gt;2,D33&lt;=4),151,IF(AND(L30="Mittellos und ambulant",D33&gt;1,D33&lt;=2),170,IF(AND(L30="Mittellos und ambulant",D33&gt;0,D33&lt;=1),208,IF(AND(L30="Mittellos und stationär",D33&gt;8,D33&lt;=1000),62,IF(AND(L30="Mittellos und stationär",D33&gt;4,D33&lt;=8),87,IF(AND(L30="Mittellos und stationär",D33&gt;2,D33&lt;=4),124,IF(AND(L30="Mittellos und stationär",D33&gt;1,D33&lt;=2),129,IF(AND(L30="Mittellos und stationär",D33&gt;0,D33&lt;=1),194,""))))))))))))))))))))),IF(M29="Stufe B",IF(AND(L30="Auswahl treffen",D33&gt;=0,D33&lt;=1000),J29,IF(AND(L30="Vermögend und ambulant",D33&gt;8,D33&lt;=1000),161,IF(AND(L30="Vermögend und ambulant",D33&gt;4,D33&lt;=8),196,IF(AND(L30="Vermögend und ambulant",D33&gt;2,D33&lt;=4),238,IF(AND(L30="Vermögend und ambulant",D33&gt;1,D33&lt;=2),258,IF(AND(L30="Vermögend und ambulant",D33&gt;0,D33&lt;=1),370,IF(AND(L30="Vermögend und stationär",D33&gt;8,D33&lt;=1000),96,IF(AND(L30="Vermögend und stationär",D33&gt;4,D33&lt;=8),113,IF(AND(L30="Vermögend und stationär",D33&gt;2,D33&lt;=4),174,IF(AND(L30="Vermögend und stationär",D33&gt;1,D33&lt;=2),196,IF(AND(L30="Vermögend und stationär",D33&gt;0,D33&lt;=1),249,IF(AND(L30="Mittellos und ambulant",D33&gt;8,D33&lt;=1000),130,IF(AND(L30="Mittellos und ambulant",D33&gt;4,D33&lt;=8),151,IF(AND(L30="Mittellos und ambulant",D33&gt;2,D33&lt;=4),188,IF(AND(L30="Mittellos und ambulant",D33&gt;1,D33&lt;=2),211,IF(AND(L30="Mittellos und ambulant",D33&gt;0,D33&lt;=1),258,IF(AND(L30="Mittellos und stationär",D33&gt;8,D33&lt;=1000),78,IF(AND(L30="Mittellos und stationär",D33&gt;4,D33&lt;=8),107,IF(AND(L30="Mittellos und stationär",D33&gt;2,D33&lt;=4),154,IF(AND(L30="Mittellos und stationär",D33&gt;1,D33&lt;=2),158,IF(AND(L30="Mittellos und stationär",D33&gt;0,D33&lt;=1),241,""))))))))))))))))))))),IF(M29="Stufe C",IF(AND(L30="Auswahl treffen",D33&gt;=0,D33&lt;=1000),J29,IF(AND(L30="Vermögend und ambulant",D33&gt;8,D33&lt;=1000),211,IF(AND(L30="Vermögend und ambulant",D33&gt;4,D33&lt;=8),257,IF(AND(L30="Vermögend und ambulant",D33&gt;2,D33&lt;=4),312,IF(AND(L30="Vermögend und ambulant",D33&gt;1,D33&lt;=2),339,IF(AND(L30="Vermögend und ambulant",D33&gt;0,D33&lt;=1),486,IF(AND(L30="Vermögend und stationär",D33&gt;8,D33&lt;=1000),127,IF(AND(L30="Vermögend und stationär",D33&gt;4,D33&lt;=8),149,IF(AND(L30="Vermögend und stationär",D33&gt;2,D33&lt;=4),229,IF(AND(L30="Vermögend und stationär",D33&gt;1,D33&lt;=2),257,IF(AND(L30="Vermögend und stationär",D33&gt;0,D33&lt;=1),327,IF(AND(L30="Mittellos und ambulant",D33&gt;8,D33&lt;=1000),171,IF(AND(L30="Mittellos und ambulant",D33&gt;4,D33&lt;=8),198,IF(AND(L30="Mittellos und ambulant",D33&gt;2,D33&lt;=4),246,IF(AND(L30="Mittellos und ambulant",D33&gt;1,D33&lt;=2),277,IF(AND(L30="Mittellos und ambulant",D33&gt;0,D33&lt;=1),339,IF(AND(L30="Mittellos und stationär",D33&gt;8,D33&lt;=1000),102,IF(AND(L30="Mittellos und stationär",D33&gt;4,D33&lt;=8),141,IF(AND(L30="Mittellos und stationär",D33&gt;2,D33&lt;=4),202,IF(AND(L30="Mittellos und stationär",D33&gt;1,D33&lt;=2),208,IF(AND(L30="Mittellos und stationär",D33&gt;0,D33&lt;=1),317,""))))))))))))))))))))),"")))*3+(J29*90)</f>
        <v>306</v>
      </c>
      <c r="M34" s="507" t="str">
        <f>CONCATENATE(K34, K33)</f>
        <v>+Inflat.-P</v>
      </c>
      <c r="N34" s="216"/>
      <c r="O34" s="188" t="s">
        <v>118</v>
      </c>
      <c r="P34" s="188"/>
      <c r="Q34" s="221"/>
      <c r="R34" s="199"/>
      <c r="S34" s="190"/>
      <c r="T34" s="190"/>
      <c r="U34" s="191"/>
      <c r="V34" s="192"/>
      <c r="W34" s="222" t="s">
        <v>118</v>
      </c>
      <c r="X34" s="222" t="s">
        <v>117</v>
      </c>
      <c r="Y34" s="191" t="s">
        <v>26</v>
      </c>
      <c r="Z34" s="192"/>
      <c r="AA34" s="190"/>
      <c r="AB34" s="190"/>
      <c r="AC34" s="191"/>
      <c r="AD34" s="192"/>
      <c r="AE34" s="190"/>
      <c r="AF34" s="190"/>
      <c r="AG34" s="191"/>
      <c r="AH34" s="193"/>
      <c r="AI34" s="190"/>
      <c r="AJ34" s="190"/>
      <c r="AK34" s="374"/>
      <c r="AL34" s="348" t="s">
        <v>149</v>
      </c>
      <c r="AM34" s="354"/>
      <c r="AN34" s="354">
        <f>IF(SUM(O30:O38)=SUM(W30:W38), 0, SUM(O30:O38)-SUM(W30:W38))</f>
        <v>0</v>
      </c>
      <c r="AO34" s="354"/>
      <c r="AP34" s="354"/>
      <c r="AQ34" s="350">
        <f>AM34+AN34+AO34+AP34</f>
        <v>0</v>
      </c>
      <c r="AR34" s="769"/>
      <c r="AS34" s="769"/>
      <c r="AT34" s="769"/>
      <c r="AW34" s="339">
        <v>26</v>
      </c>
      <c r="AX34" s="341">
        <f>IFERROR(VLOOKUP(AW34,'Aktuelle Einnahmen'!A27:G123,3,0),"")</f>
        <v>0</v>
      </c>
      <c r="AY34" s="777">
        <f>IFERROR(VLOOKUP(AW34,'Aktuelle Einnahmen'!A27:G129,4,0),"")</f>
        <v>0</v>
      </c>
      <c r="AZ34" s="345">
        <f t="shared" si="4"/>
        <v>0</v>
      </c>
      <c r="BA34" s="345">
        <f t="shared" si="5"/>
        <v>0</v>
      </c>
      <c r="BB34" s="345">
        <f t="shared" si="6"/>
        <v>0</v>
      </c>
      <c r="BC34" s="358">
        <f t="shared" si="7"/>
        <v>0</v>
      </c>
      <c r="BD34" s="1299"/>
      <c r="BE34" s="339">
        <v>59</v>
      </c>
      <c r="BF34" s="341">
        <f>IFERROR(VLOOKUP(BE34,'Aktuelle Einnahmen'!A34:G130,3,0),"")</f>
        <v>0</v>
      </c>
      <c r="BG34" s="777">
        <f>IFERROR(VLOOKUP(BE34,'Aktuelle Einnahmen'!A34:G130,4,0),"")</f>
        <v>0</v>
      </c>
      <c r="BH34" s="345">
        <f t="shared" si="8"/>
        <v>0</v>
      </c>
      <c r="BI34" s="345">
        <f t="shared" si="9"/>
        <v>0</v>
      </c>
      <c r="BJ34" s="345">
        <f t="shared" si="10"/>
        <v>0</v>
      </c>
      <c r="BK34" s="358">
        <f t="shared" si="11"/>
        <v>0</v>
      </c>
      <c r="BM34" s="337">
        <v>92</v>
      </c>
      <c r="BN34" s="343">
        <f>IFERROR(VLOOKUP(BM34,'Aktuelle Einnahmen'!A34:G130,3,0),"")</f>
        <v>0</v>
      </c>
      <c r="BO34" s="775">
        <f>IFERROR(VLOOKUP(BM34,'Aktuelle Einnahmen'!A34:G130,4,0),"")</f>
        <v>0</v>
      </c>
      <c r="BP34" s="345">
        <f t="shared" si="12"/>
        <v>0</v>
      </c>
      <c r="BQ34" s="345">
        <f t="shared" si="13"/>
        <v>0</v>
      </c>
      <c r="BR34" s="345">
        <f t="shared" si="14"/>
        <v>0</v>
      </c>
      <c r="BS34" s="358">
        <f t="shared" si="15"/>
        <v>0</v>
      </c>
      <c r="BT34" s="335"/>
      <c r="BU34" s="335"/>
      <c r="BV34" s="335"/>
      <c r="BW34" s="335"/>
      <c r="BX34" s="335"/>
      <c r="BY34" s="335"/>
      <c r="BZ34" s="335"/>
      <c r="CA34" s="335"/>
      <c r="CB34" s="335"/>
      <c r="CC34" s="335"/>
      <c r="CD34" s="335"/>
      <c r="CE34" s="335"/>
      <c r="CF34" s="335"/>
      <c r="CG34" s="335"/>
      <c r="CH34" s="335"/>
      <c r="CI34" s="335"/>
    </row>
    <row r="35" spans="1:87" ht="22.25" customHeight="1">
      <c r="A35" s="181">
        <f t="shared" si="3"/>
        <v>45292</v>
      </c>
      <c r="B35" s="484">
        <f>YEAR($A36)-1</f>
        <v>2023</v>
      </c>
      <c r="C35" s="489" t="s">
        <v>158</v>
      </c>
      <c r="D35" s="520">
        <f>D33+1</f>
        <v>15</v>
      </c>
      <c r="E35" s="194">
        <f>DATE(YEAR(E34),MONTH(E34),DAY(E34)+1)</f>
        <v>45433</v>
      </c>
      <c r="F35" s="195">
        <f t="shared" si="23"/>
        <v>21</v>
      </c>
      <c r="G35" s="196">
        <f t="shared" si="24"/>
        <v>5</v>
      </c>
      <c r="H35" s="195">
        <f t="shared" si="25"/>
        <v>2024</v>
      </c>
      <c r="I35" s="223" t="str">
        <f>IF(J37&lt;13,J37,"")</f>
        <v/>
      </c>
      <c r="J35" s="224">
        <f>G30</f>
        <v>11</v>
      </c>
      <c r="K35" s="501" t="str">
        <f t="shared" si="19"/>
        <v/>
      </c>
      <c r="L35" s="471"/>
      <c r="M35" s="473" t="str">
        <f ca="1">SUM(J30-E36)&amp;" Tage"</f>
        <v>-49 Tage</v>
      </c>
      <c r="N35" s="200"/>
      <c r="O35" s="201"/>
      <c r="P35" s="201"/>
      <c r="Q35" s="202"/>
      <c r="R35" s="189"/>
      <c r="S35" s="203"/>
      <c r="T35" s="203"/>
      <c r="U35" s="204"/>
      <c r="V35" s="192"/>
      <c r="W35" s="203"/>
      <c r="X35" s="203"/>
      <c r="Y35" s="204"/>
      <c r="Z35" s="192"/>
      <c r="AA35" s="203"/>
      <c r="AB35" s="203"/>
      <c r="AC35" s="204"/>
      <c r="AD35" s="192"/>
      <c r="AE35" s="203"/>
      <c r="AF35" s="203"/>
      <c r="AG35" s="204"/>
      <c r="AH35" s="193"/>
      <c r="AI35" s="203"/>
      <c r="AJ35" s="203"/>
      <c r="AK35" s="375"/>
      <c r="AL35" s="348"/>
      <c r="AM35" s="354"/>
      <c r="AN35" s="354"/>
      <c r="AO35" s="354"/>
      <c r="AP35" s="354"/>
      <c r="AQ35" s="350"/>
      <c r="AR35" s="769"/>
      <c r="AS35" s="769"/>
      <c r="AT35" s="769"/>
      <c r="AW35" s="339">
        <v>27</v>
      </c>
      <c r="AX35" s="341">
        <f>IFERROR(VLOOKUP(AW35,'Aktuelle Einnahmen'!A28:G124,3,0),"")</f>
        <v>0</v>
      </c>
      <c r="AY35" s="777">
        <f>IFERROR(VLOOKUP(AW35,'Aktuelle Einnahmen'!A28:G130,4,0),"")</f>
        <v>0</v>
      </c>
      <c r="AZ35" s="345">
        <f t="shared" si="4"/>
        <v>0</v>
      </c>
      <c r="BA35" s="345">
        <f t="shared" si="5"/>
        <v>0</v>
      </c>
      <c r="BB35" s="345">
        <f t="shared" si="6"/>
        <v>0</v>
      </c>
      <c r="BC35" s="358">
        <f t="shared" si="7"/>
        <v>0</v>
      </c>
      <c r="BD35" s="1299"/>
      <c r="BE35" s="339">
        <v>60</v>
      </c>
      <c r="BF35" s="341">
        <f>IFERROR(VLOOKUP(BE35,'Aktuelle Einnahmen'!A35:G131,3,0),"")</f>
        <v>0</v>
      </c>
      <c r="BG35" s="777">
        <f>IFERROR(VLOOKUP(BE35,'Aktuelle Einnahmen'!A35:G131,4,0),"")</f>
        <v>0</v>
      </c>
      <c r="BH35" s="345">
        <f t="shared" si="8"/>
        <v>0</v>
      </c>
      <c r="BI35" s="345">
        <f t="shared" si="9"/>
        <v>0</v>
      </c>
      <c r="BJ35" s="345">
        <f t="shared" si="10"/>
        <v>0</v>
      </c>
      <c r="BK35" s="358">
        <f t="shared" si="11"/>
        <v>0</v>
      </c>
      <c r="BM35" s="337">
        <v>93</v>
      </c>
      <c r="BN35" s="343">
        <f>IFERROR(VLOOKUP(BM35,'Aktuelle Einnahmen'!A35:G131,3,0),"")</f>
        <v>0</v>
      </c>
      <c r="BO35" s="775">
        <f>IFERROR(VLOOKUP(BM35,'Aktuelle Einnahmen'!A35:G131,4,0),"")</f>
        <v>0</v>
      </c>
      <c r="BP35" s="345">
        <f t="shared" si="12"/>
        <v>0</v>
      </c>
      <c r="BQ35" s="345">
        <f t="shared" si="13"/>
        <v>0</v>
      </c>
      <c r="BR35" s="345">
        <f t="shared" si="14"/>
        <v>0</v>
      </c>
      <c r="BS35" s="358">
        <f t="shared" si="15"/>
        <v>0</v>
      </c>
      <c r="BT35" s="335"/>
      <c r="BU35" s="335"/>
      <c r="BV35" s="335"/>
      <c r="BW35" s="335"/>
      <c r="BX35" s="335"/>
      <c r="BY35" s="335"/>
      <c r="BZ35" s="335"/>
      <c r="CA35" s="335"/>
      <c r="CB35" s="335"/>
      <c r="CC35" s="335"/>
      <c r="CD35" s="335"/>
      <c r="CE35" s="335"/>
      <c r="CF35" s="335"/>
      <c r="CG35" s="335"/>
      <c r="CH35" s="335"/>
      <c r="CI35" s="335"/>
    </row>
    <row r="36" spans="1:87" ht="22.25" customHeight="1">
      <c r="A36" s="181">
        <f t="shared" si="3"/>
        <v>45292</v>
      </c>
      <c r="B36" s="485"/>
      <c r="C36" s="490"/>
      <c r="D36" s="521"/>
      <c r="E36" s="194">
        <f>DATE(YEAR(E35),MONTH(E35)+3,DAY(E35)-1)</f>
        <v>45524</v>
      </c>
      <c r="F36" s="195">
        <f t="shared" si="23"/>
        <v>20</v>
      </c>
      <c r="G36" s="196">
        <f t="shared" si="24"/>
        <v>8</v>
      </c>
      <c r="H36" s="195">
        <f t="shared" si="25"/>
        <v>2024</v>
      </c>
      <c r="I36" s="225" t="str">
        <f>IF(J38&lt;13,J38,"")</f>
        <v/>
      </c>
      <c r="J36" s="224">
        <f>J35+3</f>
        <v>14</v>
      </c>
      <c r="K36" s="506" t="str">
        <f t="shared" si="19"/>
        <v>+Inflat.-P</v>
      </c>
      <c r="L36" s="511">
        <f>IF(M29="Stufe A",IF(AND(L30="Auswahl treffen",D35&gt;=0,D35&lt;=1000),J29,IF(AND(L30="Vermögend und ambulant",D35&gt;8,D35&lt;=1000),130,IF(AND(L30="Vermögend und ambulant",D35&gt;4,D35&lt;=8),158,IF(AND(L30="Vermögend und ambulant",D35&gt;2,D35&lt;=4),192,IF(AND(L30="Vermögend und ambulant",D35&gt;1,D35&lt;=2),208,IF(AND(L30="Vermögend und ambulant",D35&gt;0,D35&lt;=1),298,IF(AND(L30="Vermögend und stationär",D35&gt;8,D35&lt;=1000),78,IF(AND(L30="Vermögend und stationär",D35&gt;4,D35&lt;=8),91,IF(AND(L30="Vermögend und stationär",D35&gt;2,D35&lt;=4),140,IF(AND(L30="Vermögend und stationär",D35&gt;1,D35&lt;=2),158,IF(AND(L30="Vermögend und stationär",D35&gt;0,D35&lt;=1),200,IF(AND(L30="Mittellos und ambulant",D35&gt;8,D35&lt;=1000),105,IF(AND(L30="Mittellos und ambulant",D35&gt;4,D35&lt;=8),122,IF(AND(L30="Mittellos und ambulant",D35&gt;2,D35&lt;=4),151,IF(AND(L30="Mittellos und ambulant",D35&gt;1,D35&lt;=2),170,IF(AND(L30="Mittellos und ambulant",D35&gt;0,D35&lt;=1),208,IF(AND(L30="Mittellos und stationär",D35&gt;8,D35&lt;=1000),62,IF(AND(L30="Mittellos und stationär",D35&gt;4,D35&lt;=8),87,IF(AND(L30="Mittellos und stationär",D35&gt;2,D35&lt;=4),124,IF(AND(L30="Mittellos und stationär",D35&gt;1,D35&lt;=2),129,IF(AND(L30="Mittellos und stationär",D35&gt;0,D35&lt;=1),194,""))))))))))))))))))))),IF(M29="Stufe B",IF(AND(L30="Auswahl treffen",D35&gt;=0,D35&lt;=1000),J29,IF(AND(L30="Vermögend und ambulant",D35&gt;8,D35&lt;=1000),161,IF(AND(L30="Vermögend und ambulant",D35&gt;4,D35&lt;=8),196,IF(AND(L30="Vermögend und ambulant",D35&gt;2,D35&lt;=4),238,IF(AND(L30="Vermögend und ambulant",D35&gt;1,D35&lt;=2),258,IF(AND(L30="Vermögend und ambulant",D35&gt;0,D35&lt;=1),370,IF(AND(L30="Vermögend und stationär",D35&gt;8,D35&lt;=1000),96,IF(AND(L30="Vermögend und stationär",D35&gt;4,D35&lt;=8),113,IF(AND(L30="Vermögend und stationär",D35&gt;2,D35&lt;=4),174,IF(AND(L30="Vermögend und stationär",D35&gt;1,D35&lt;=2),196,IF(AND(L30="Vermögend und stationär",D35&gt;0,D35&lt;=1),249,IF(AND(L30="Mittellos und ambulant",D35&gt;8,D35&lt;=1000),130,IF(AND(L30="Mittellos und ambulant",D35&gt;4,D35&lt;=8),151,IF(AND(L30="Mittellos und ambulant",D35&gt;2,D35&lt;=4),188,IF(AND(L30="Mittellos und ambulant",D35&gt;1,D35&lt;=2),211,IF(AND(L30="Mittellos und ambulant",D35&gt;0,D35&lt;=1),258,IF(AND(L30="Mittellos und stationär",D35&gt;8,D35&lt;=1000),78,IF(AND(L30="Mittellos und stationär",D35&gt;4,D35&lt;=8),107,IF(AND(L30="Mittellos und stationär",D35&gt;2,D35&lt;=4),154,IF(AND(L30="Mittellos und stationär",D35&gt;1,D35&lt;=2),158,IF(AND(L30="Mittellos und stationär",D35&gt;0,D35&lt;=1),241,""))))))))))))))))))))),IF(M29="Stufe C",IF(AND(L30="Auswahl treffen",D35&gt;=0,D35&lt;=1000),J29,IF(AND(L30="Vermögend und ambulant",D35&gt;8,D35&lt;=1000),211,IF(AND(L30="Vermögend und ambulant",D35&gt;4,D35&lt;=8),257,IF(AND(L30="Vermögend und ambulant",D35&gt;2,D35&lt;=4),312,IF(AND(L30="Vermögend und ambulant",D35&gt;1,D35&lt;=2),339,IF(AND(L30="Vermögend und ambulant",D35&gt;0,D35&lt;=1),486,IF(AND(L30="Vermögend und stationär",D35&gt;8,D35&lt;=1000),127,IF(AND(L30="Vermögend und stationär",D35&gt;4,D35&lt;=8),149,IF(AND(L30="Vermögend und stationär",D35&gt;2,D35&lt;=4),229,IF(AND(L30="Vermögend und stationär",D35&gt;1,D35&lt;=2),257,IF(AND(L30="Vermögend und stationär",D35&gt;0,D35&lt;=1),327,IF(AND(L30="Mittellos und ambulant",D35&gt;8,D35&lt;=1000),171,IF(AND(L30="Mittellos und ambulant",D35&gt;4,D35&lt;=8),198,IF(AND(L30="Mittellos und ambulant",D35&gt;2,D35&lt;=4),246,IF(AND(L30="Mittellos und ambulant",D35&gt;1,D35&lt;=2),277,IF(AND(L30="Mittellos und ambulant",D35&gt;0,D35&lt;=1),339,IF(AND(L30="Mittellos und stationär",D35&gt;8,D35&lt;=1000),102,IF(AND(L30="Mittellos und stationär",D35&gt;4,D35&lt;=8),141,IF(AND(L30="Mittellos und stationär",D35&gt;2,D35&lt;=4),202,IF(AND(L30="Mittellos und stationär",D35&gt;1,D35&lt;=2),208,IF(AND(L30="Mittellos und stationär",D35&gt;0,D35&lt;=1),317,""))))))))))))))))))))),"")))*3+(J29*90)</f>
        <v>306</v>
      </c>
      <c r="M36" s="507" t="str">
        <f>CONCATENATE(K36, K35)</f>
        <v>+Inflat.-P</v>
      </c>
      <c r="N36" s="206"/>
      <c r="O36" s="207"/>
      <c r="P36" s="206" t="s">
        <v>118</v>
      </c>
      <c r="Q36" s="226"/>
      <c r="R36" s="189"/>
      <c r="S36" s="203"/>
      <c r="T36" s="203"/>
      <c r="U36" s="204"/>
      <c r="V36" s="192"/>
      <c r="W36" s="203"/>
      <c r="X36" s="203"/>
      <c r="Y36" s="204"/>
      <c r="Z36" s="192"/>
      <c r="AA36" s="209" t="s">
        <v>118</v>
      </c>
      <c r="AB36" s="209" t="s">
        <v>117</v>
      </c>
      <c r="AC36" s="204" t="s">
        <v>26</v>
      </c>
      <c r="AD36" s="192"/>
      <c r="AE36" s="203"/>
      <c r="AF36" s="203"/>
      <c r="AG36" s="204"/>
      <c r="AH36" s="193"/>
      <c r="AI36" s="203"/>
      <c r="AJ36" s="203"/>
      <c r="AK36" s="375"/>
      <c r="AL36" s="348" t="s">
        <v>150</v>
      </c>
      <c r="AM36" s="354"/>
      <c r="AN36" s="354"/>
      <c r="AO36" s="354">
        <f>IF(SUM(P30:P38)=SUM(AA30:AA38), 0, SUM(P30:P38)-SUM(AA30:AA38))</f>
        <v>0</v>
      </c>
      <c r="AP36" s="354"/>
      <c r="AQ36" s="350">
        <f>AM36+AN36+AO36+AP36</f>
        <v>0</v>
      </c>
      <c r="AR36" s="769"/>
      <c r="AS36" s="769"/>
      <c r="AT36" s="769"/>
      <c r="AW36" s="339">
        <v>28</v>
      </c>
      <c r="AX36" s="341">
        <f>IFERROR(VLOOKUP(AW36,'Aktuelle Einnahmen'!A29:G125,3,0),"")</f>
        <v>0</v>
      </c>
      <c r="AY36" s="777">
        <f>IFERROR(VLOOKUP(AW36,'Aktuelle Einnahmen'!A29:G131,4,0),"")</f>
        <v>0</v>
      </c>
      <c r="AZ36" s="345">
        <f t="shared" si="4"/>
        <v>0</v>
      </c>
      <c r="BA36" s="345">
        <f t="shared" si="5"/>
        <v>0</v>
      </c>
      <c r="BB36" s="345">
        <f t="shared" si="6"/>
        <v>0</v>
      </c>
      <c r="BC36" s="358">
        <f t="shared" si="7"/>
        <v>0</v>
      </c>
      <c r="BD36" s="1299"/>
      <c r="BE36" s="339">
        <v>61</v>
      </c>
      <c r="BF36" s="341">
        <f>IFERROR(VLOOKUP(BE36,'Aktuelle Einnahmen'!A36:G132,3,0),"")</f>
        <v>0</v>
      </c>
      <c r="BG36" s="777">
        <f>IFERROR(VLOOKUP(BE36,'Aktuelle Einnahmen'!A36:G132,4,0),"")</f>
        <v>0</v>
      </c>
      <c r="BH36" s="345">
        <f t="shared" si="8"/>
        <v>0</v>
      </c>
      <c r="BI36" s="345">
        <f t="shared" si="9"/>
        <v>0</v>
      </c>
      <c r="BJ36" s="345">
        <f t="shared" si="10"/>
        <v>0</v>
      </c>
      <c r="BK36" s="358">
        <f t="shared" si="11"/>
        <v>0</v>
      </c>
      <c r="BM36" s="337">
        <v>94</v>
      </c>
      <c r="BN36" s="343">
        <f>IFERROR(VLOOKUP(BM36,'Aktuelle Einnahmen'!A36:G132,3,0),"")</f>
        <v>0</v>
      </c>
      <c r="BO36" s="775">
        <f>IFERROR(VLOOKUP(BM36,'Aktuelle Einnahmen'!A36:G132,4,0),"")</f>
        <v>0</v>
      </c>
      <c r="BP36" s="345">
        <f t="shared" si="12"/>
        <v>0</v>
      </c>
      <c r="BQ36" s="345">
        <f t="shared" si="13"/>
        <v>0</v>
      </c>
      <c r="BR36" s="345">
        <f t="shared" si="14"/>
        <v>0</v>
      </c>
      <c r="BS36" s="358">
        <f t="shared" si="15"/>
        <v>0</v>
      </c>
      <c r="BT36" s="335"/>
      <c r="BU36" s="335"/>
      <c r="BV36" s="335"/>
      <c r="BW36" s="335"/>
      <c r="BX36" s="335"/>
      <c r="BY36" s="335"/>
      <c r="BZ36" s="335"/>
      <c r="CA36" s="335"/>
      <c r="CB36" s="335"/>
      <c r="CC36" s="335"/>
      <c r="CD36" s="335"/>
      <c r="CE36" s="335"/>
      <c r="CF36" s="335"/>
      <c r="CG36" s="335"/>
      <c r="CH36" s="335"/>
      <c r="CI36" s="335"/>
    </row>
    <row r="37" spans="1:87" ht="22.25" customHeight="1">
      <c r="A37" s="181">
        <f t="shared" si="3"/>
        <v>45292</v>
      </c>
      <c r="B37" s="486"/>
      <c r="C37" s="489" t="s">
        <v>158</v>
      </c>
      <c r="D37" s="522">
        <f>D35+1</f>
        <v>16</v>
      </c>
      <c r="E37" s="211">
        <f>DATE(YEAR(E36),MONTH(E36),DAY(E36)+1)</f>
        <v>45525</v>
      </c>
      <c r="F37" s="227">
        <f t="shared" si="23"/>
        <v>21</v>
      </c>
      <c r="G37" s="228">
        <f t="shared" si="24"/>
        <v>8</v>
      </c>
      <c r="H37" s="227">
        <f t="shared" si="25"/>
        <v>2024</v>
      </c>
      <c r="I37" s="229" t="str">
        <f>IF(J36&lt;13,J36,"")</f>
        <v/>
      </c>
      <c r="J37" s="230">
        <f>J38+3</f>
        <v>20</v>
      </c>
      <c r="K37" s="501" t="str">
        <f t="shared" si="19"/>
        <v/>
      </c>
      <c r="L37" s="471"/>
      <c r="M37" s="473" t="str">
        <f ca="1">SUM(J30-E38)&amp;" Tage"</f>
        <v>-141 Tage</v>
      </c>
      <c r="N37" s="216"/>
      <c r="O37" s="188"/>
      <c r="P37" s="188"/>
      <c r="Q37" s="217"/>
      <c r="R37" s="189"/>
      <c r="S37" s="190"/>
      <c r="T37" s="190"/>
      <c r="U37" s="191"/>
      <c r="V37" s="192"/>
      <c r="W37" s="190"/>
      <c r="X37" s="190"/>
      <c r="Y37" s="191"/>
      <c r="Z37" s="192"/>
      <c r="AA37" s="190"/>
      <c r="AB37" s="190"/>
      <c r="AC37" s="191"/>
      <c r="AD37" s="192"/>
      <c r="AE37" s="190"/>
      <c r="AF37" s="190"/>
      <c r="AG37" s="191"/>
      <c r="AH37" s="193"/>
      <c r="AI37" s="190"/>
      <c r="AJ37" s="190"/>
      <c r="AK37" s="374"/>
      <c r="AL37" s="348"/>
      <c r="AM37" s="354"/>
      <c r="AN37" s="354"/>
      <c r="AO37" s="354"/>
      <c r="AP37" s="354"/>
      <c r="AQ37" s="350"/>
      <c r="AR37" s="769"/>
      <c r="AS37" s="769"/>
      <c r="AT37" s="769"/>
      <c r="AW37" s="339">
        <v>29</v>
      </c>
      <c r="AX37" s="341">
        <f>IFERROR(VLOOKUP(AW37,'Aktuelle Einnahmen'!A30:G126,3,0),"")</f>
        <v>0</v>
      </c>
      <c r="AY37" s="777">
        <f>IFERROR(VLOOKUP(AW37,'Aktuelle Einnahmen'!A30:G132,4,0),"")</f>
        <v>0</v>
      </c>
      <c r="AZ37" s="345">
        <f t="shared" si="4"/>
        <v>0</v>
      </c>
      <c r="BA37" s="345">
        <f t="shared" si="5"/>
        <v>0</v>
      </c>
      <c r="BB37" s="345">
        <f t="shared" si="6"/>
        <v>0</v>
      </c>
      <c r="BC37" s="358">
        <f t="shared" si="7"/>
        <v>0</v>
      </c>
      <c r="BD37" s="1299"/>
      <c r="BE37" s="339">
        <v>62</v>
      </c>
      <c r="BF37" s="341">
        <f>IFERROR(VLOOKUP(BE37,'Aktuelle Einnahmen'!A37:G133,3,0),"")</f>
        <v>0</v>
      </c>
      <c r="BG37" s="777">
        <f>IFERROR(VLOOKUP(BE37,'Aktuelle Einnahmen'!A37:G133,4,0),"")</f>
        <v>0</v>
      </c>
      <c r="BH37" s="345">
        <f t="shared" si="8"/>
        <v>0</v>
      </c>
      <c r="BI37" s="345">
        <f t="shared" si="9"/>
        <v>0</v>
      </c>
      <c r="BJ37" s="345">
        <f t="shared" si="10"/>
        <v>0</v>
      </c>
      <c r="BK37" s="358">
        <f t="shared" si="11"/>
        <v>0</v>
      </c>
      <c r="BM37" s="337">
        <v>95</v>
      </c>
      <c r="BN37" s="343">
        <f>IFERROR(VLOOKUP(BM37,'Aktuelle Einnahmen'!A37:G133,3,0),"")</f>
        <v>0</v>
      </c>
      <c r="BO37" s="775">
        <f>IFERROR(VLOOKUP(BM37,'Aktuelle Einnahmen'!A37:G133,4,0),"")</f>
        <v>0</v>
      </c>
      <c r="BP37" s="345">
        <f t="shared" si="12"/>
        <v>0</v>
      </c>
      <c r="BQ37" s="345">
        <f t="shared" si="13"/>
        <v>0</v>
      </c>
      <c r="BR37" s="345">
        <f t="shared" si="14"/>
        <v>0</v>
      </c>
      <c r="BS37" s="358">
        <f t="shared" si="15"/>
        <v>0</v>
      </c>
      <c r="BT37" s="335"/>
      <c r="BU37" s="335"/>
      <c r="BV37" s="335"/>
      <c r="BW37" s="335"/>
      <c r="BX37" s="335"/>
      <c r="BY37" s="335"/>
      <c r="BZ37" s="335"/>
      <c r="CA37" s="335"/>
      <c r="CB37" s="335"/>
      <c r="CC37" s="335"/>
      <c r="CD37" s="335"/>
      <c r="CE37" s="335"/>
      <c r="CF37" s="335"/>
      <c r="CG37" s="335"/>
      <c r="CH37" s="335"/>
      <c r="CI37" s="335"/>
    </row>
    <row r="38" spans="1:87" ht="22.25" customHeight="1">
      <c r="A38" s="181">
        <f t="shared" si="3"/>
        <v>45292</v>
      </c>
      <c r="B38" s="485"/>
      <c r="C38" s="490"/>
      <c r="D38" s="521"/>
      <c r="E38" s="218">
        <f>DATE(YEAR(E37),MONTH(E37)+3,DAY(E37)-1)</f>
        <v>45616</v>
      </c>
      <c r="F38" s="227">
        <f t="shared" si="23"/>
        <v>20</v>
      </c>
      <c r="G38" s="228">
        <f t="shared" si="24"/>
        <v>11</v>
      </c>
      <c r="H38" s="227">
        <f t="shared" si="25"/>
        <v>2024</v>
      </c>
      <c r="I38" s="231">
        <f>IF(J35&lt;13,J35,"")</f>
        <v>11</v>
      </c>
      <c r="J38" s="230">
        <f>J36+3</f>
        <v>17</v>
      </c>
      <c r="K38" s="506" t="str">
        <f t="shared" si="19"/>
        <v>+Inflat.-P</v>
      </c>
      <c r="L38" s="508">
        <f>IF(M29="Stufe A",IF(AND(L30="Auswahl treffen",D37&gt;=0,D37&lt;=1000),J29,IF(AND(L30="Vermögend und ambulant",D37&gt;8,D37&lt;=1000),130,IF(AND(L30="Vermögend und ambulant",D37&gt;4,D37&lt;=8),158,IF(AND(L30="Vermögend und ambulant",D37&gt;2,D37&lt;=4),192,IF(AND(L30="Vermögend und ambulant",D37&gt;1,D37&lt;=2),208,IF(AND(L30="Vermögend und ambulant",D37&gt;0,D37&lt;=1),298,IF(AND(L30="Vermögend und stationär",D37&gt;8,D37&lt;=1000),78,IF(AND(L30="Vermögend und stationär",D37&gt;4,D37&lt;=8),91,IF(AND(L30="Vermögend und stationär",D37&gt;2,D37&lt;=4),140,IF(AND(L30="Vermögend und stationär",D37&gt;1,D37&lt;=2),158,IF(AND(L30="Vermögend und stationär",D37&gt;0,D37&lt;=1),200,IF(AND(L30="Mittellos und ambulant",D37&gt;8,D37&lt;=1000),105,IF(AND(L30="Mittellos und ambulant",D37&gt;4,D37&lt;=8),122,IF(AND(L30="Mittellos und ambulant",D37&gt;2,D37&lt;=4),151,IF(AND(L30="Mittellos und ambulant",D37&gt;1,D37&lt;=2),170,IF(AND(L30="Mittellos und ambulant",D37&gt;0,D37&lt;=1),208,IF(AND(L30="Mittellos und stationär",D37&gt;8,D37&lt;=1000),62,IF(AND(L30="Mittellos und stationär",D37&gt;4,D37&lt;=8),87,IF(AND(L30="Mittellos und stationär",D37&gt;2,D37&lt;=4),124,IF(AND(L30="Mittellos und stationär",D37&gt;1,D37&lt;=2),129,IF(AND(L30="Mittellos und stationär",D37&gt;0,D37&lt;=1),194,""))))))))))))))))))))),IF(M29="Stufe B",IF(AND(L30="Auswahl treffen",D37&gt;=0,D37&lt;=1000),J29,IF(AND(L30="Vermögend und ambulant",D37&gt;8,D37&lt;=1000),161,IF(AND(L30="Vermögend und ambulant",D37&gt;4,D37&lt;=8),196,IF(AND(L30="Vermögend und ambulant",D37&gt;2,D37&lt;=4),238,IF(AND(L30="Vermögend und ambulant",D37&gt;1,D37&lt;=2),258,IF(AND(L30="Vermögend und ambulant",D37&gt;0,D37&lt;=1),370,IF(AND(L30="Vermögend und stationär",D37&gt;8,D37&lt;=1000),96,IF(AND(L30="Vermögend und stationär",D37&gt;4,D37&lt;=8),113,IF(AND(L30="Vermögend und stationär",D37&gt;2,D37&lt;=4),174,IF(AND(L30="Vermögend und stationär",D37&gt;1,D37&lt;=2),196,IF(AND(L30="Vermögend und stationär",D37&gt;0,D37&lt;=1),249,IF(AND(L30="Mittellos und ambulant",D37&gt;8,D37&lt;=1000),130,IF(AND(L30="Mittellos und ambulant",D37&gt;4,D37&lt;=8),151,IF(AND(L30="Mittellos und ambulant",D37&gt;2,D37&lt;=4),188,IF(AND(L30="Mittellos und ambulant",D37&gt;1,D37&lt;=2),211,IF(AND(L30="Mittellos und ambulant",D37&gt;0,D37&lt;=1),258,IF(AND(L30="Mittellos und stationär",D37&gt;8,D37&lt;=1000),78,IF(AND(L30="Mittellos und stationär",D37&gt;4,D37&lt;=8),107,IF(AND(L30="Mittellos und stationär",D37&gt;2,D37&lt;=4),154,IF(AND(L30="Mittellos und stationär",D37&gt;1,D37&lt;=2),158,IF(AND(L30="Mittellos und stationär",D37&gt;0,D37&lt;=1),241,""))))))))))))))))))))),IF(M29="Stufe C",IF(AND(L30="Auswahl treffen",D37&gt;=0,D37&lt;=1000),J29,IF(AND(L30="Vermögend und ambulant",D37&gt;8,D37&lt;=1000),211,IF(AND(L30="Vermögend und ambulant",D37&gt;4,D37&lt;=8),257,IF(AND(L30="Vermögend und ambulant",D37&gt;2,D37&lt;=4),312,IF(AND(L30="Vermögend und ambulant",D37&gt;1,D37&lt;=2),339,IF(AND(L30="Vermögend und ambulant",D37&gt;0,D37&lt;=1),486,IF(AND(L30="Vermögend und stationär",D37&gt;8,D37&lt;=1000),127,IF(AND(L30="Vermögend und stationär",D37&gt;4,D37&lt;=8),149,IF(AND(L30="Vermögend und stationär",D37&gt;2,D37&lt;=4),229,IF(AND(L30="Vermögend und stationär",D37&gt;1,D37&lt;=2),257,IF(AND(L30="Vermögend und stationär",D37&gt;0,D37&lt;=1),327,IF(AND(L30="Mittellos und ambulant",D37&gt;8,D37&lt;=1000),171,IF(AND(L30="Mittellos und ambulant",D37&gt;4,D37&lt;=8),198,IF(AND(L30="Mittellos und ambulant",D37&gt;2,D37&lt;=4),246,IF(AND(L30="Mittellos und ambulant",D37&gt;1,D37&lt;=2),277,IF(AND(L30="Mittellos und ambulant",D37&gt;0,D37&lt;=1),339,IF(AND(L30="Mittellos und stationär",D37&gt;8,D37&lt;=1000),102,IF(AND(L30="Mittellos und stationär",D37&gt;4,D37&lt;=8),141,IF(AND(L30="Mittellos und stationär",D37&gt;2,D37&lt;=4),202,IF(AND(L30="Mittellos und stationär",D37&gt;1,D37&lt;=2),208,IF(AND(L30="Mittellos und stationär",D37&gt;0,D37&lt;=1),317,""))))))))))))))))))))),"")))*3+(J29*90)</f>
        <v>306</v>
      </c>
      <c r="M38" s="507" t="str">
        <f>CONCATENATE(K38, K37)</f>
        <v>+Inflat.-P</v>
      </c>
      <c r="N38" s="216"/>
      <c r="O38" s="188"/>
      <c r="P38" s="188"/>
      <c r="Q38" s="217" t="s">
        <v>118</v>
      </c>
      <c r="R38" s="189"/>
      <c r="S38" s="190"/>
      <c r="T38" s="190"/>
      <c r="U38" s="191"/>
      <c r="V38" s="192"/>
      <c r="W38" s="190"/>
      <c r="X38" s="190"/>
      <c r="Y38" s="191"/>
      <c r="Z38" s="192"/>
      <c r="AA38" s="190"/>
      <c r="AB38" s="190"/>
      <c r="AC38" s="191"/>
      <c r="AD38" s="192"/>
      <c r="AE38" s="190" t="s">
        <v>118</v>
      </c>
      <c r="AF38" s="190" t="s">
        <v>117</v>
      </c>
      <c r="AG38" s="191" t="s">
        <v>26</v>
      </c>
      <c r="AH38" s="193"/>
      <c r="AI38" s="190" t="s">
        <v>118</v>
      </c>
      <c r="AJ38" s="190" t="s">
        <v>117</v>
      </c>
      <c r="AK38" s="374" t="s">
        <v>26</v>
      </c>
      <c r="AL38" s="348" t="s">
        <v>151</v>
      </c>
      <c r="AM38" s="354"/>
      <c r="AN38" s="354"/>
      <c r="AO38" s="354"/>
      <c r="AP38" s="354">
        <f>IF(SUM(Q30:Q38)=SUM(AE30:AE38,AI30:AI38), 0, SUM(Q30:Q38)-SUM(AE30:AE38,AI30:AI38))</f>
        <v>0</v>
      </c>
      <c r="AQ38" s="350">
        <f>AM38+AN38+AO38+AP38</f>
        <v>0</v>
      </c>
      <c r="AR38" s="769"/>
      <c r="AS38" s="769"/>
      <c r="AT38" s="769"/>
      <c r="AW38" s="339">
        <v>30</v>
      </c>
      <c r="AX38" s="341">
        <f>IFERROR(VLOOKUP(AW38,'Aktuelle Einnahmen'!A31:G127,3,0),"")</f>
        <v>0</v>
      </c>
      <c r="AY38" s="777">
        <f>IFERROR(VLOOKUP(AW38,'Aktuelle Einnahmen'!A31:G133,4,0),"")</f>
        <v>0</v>
      </c>
      <c r="AZ38" s="345">
        <f t="shared" si="4"/>
        <v>0</v>
      </c>
      <c r="BA38" s="345">
        <f t="shared" si="5"/>
        <v>0</v>
      </c>
      <c r="BB38" s="345">
        <f t="shared" si="6"/>
        <v>0</v>
      </c>
      <c r="BC38" s="358">
        <f t="shared" si="7"/>
        <v>0</v>
      </c>
      <c r="BD38" s="1299"/>
      <c r="BE38" s="339">
        <v>63</v>
      </c>
      <c r="BF38" s="341">
        <f>IFERROR(VLOOKUP(BE38,'Aktuelle Einnahmen'!A38:G134,3,0),"")</f>
        <v>0</v>
      </c>
      <c r="BG38" s="777">
        <f>IFERROR(VLOOKUP(BE38,'Aktuelle Einnahmen'!A38:G134,4,0),"")</f>
        <v>0</v>
      </c>
      <c r="BH38" s="345">
        <f t="shared" si="8"/>
        <v>0</v>
      </c>
      <c r="BI38" s="345">
        <f t="shared" si="9"/>
        <v>0</v>
      </c>
      <c r="BJ38" s="345">
        <f t="shared" si="10"/>
        <v>0</v>
      </c>
      <c r="BK38" s="358">
        <f t="shared" si="11"/>
        <v>0</v>
      </c>
      <c r="BM38" s="337">
        <v>96</v>
      </c>
      <c r="BN38" s="343">
        <f>IFERROR(VLOOKUP(BM38,'Aktuelle Einnahmen'!A38:G134,3,0),"")</f>
        <v>0</v>
      </c>
      <c r="BO38" s="775">
        <f>IFERROR(VLOOKUP(BM38,'Aktuelle Einnahmen'!A38:G134,4,0),"")</f>
        <v>0</v>
      </c>
      <c r="BP38" s="345">
        <f t="shared" si="12"/>
        <v>0</v>
      </c>
      <c r="BQ38" s="345">
        <f t="shared" si="13"/>
        <v>0</v>
      </c>
      <c r="BR38" s="345">
        <f t="shared" si="14"/>
        <v>0</v>
      </c>
      <c r="BS38" s="358">
        <f t="shared" si="15"/>
        <v>0</v>
      </c>
      <c r="BT38" s="335"/>
      <c r="BU38" s="335"/>
      <c r="BV38" s="335"/>
      <c r="BW38" s="335"/>
      <c r="BX38" s="335"/>
      <c r="BY38" s="335"/>
      <c r="BZ38" s="335"/>
      <c r="CA38" s="335"/>
      <c r="CB38" s="335"/>
      <c r="CC38" s="335"/>
      <c r="CD38" s="335"/>
      <c r="CE38" s="335"/>
      <c r="CF38" s="335"/>
      <c r="CG38" s="335"/>
      <c r="CH38" s="335"/>
      <c r="CI38" s="335"/>
    </row>
    <row r="39" spans="1:87" ht="22" customHeight="1">
      <c r="A39" s="181">
        <f t="shared" si="3"/>
        <v>45292</v>
      </c>
      <c r="B39" s="232" t="s">
        <v>74</v>
      </c>
      <c r="C39" s="233" t="s">
        <v>75</v>
      </c>
      <c r="D39" s="234" t="s">
        <v>76</v>
      </c>
      <c r="E39" s="235" t="s">
        <v>11</v>
      </c>
      <c r="F39" s="235" t="s">
        <v>4</v>
      </c>
      <c r="G39" s="235" t="s">
        <v>5</v>
      </c>
      <c r="H39" s="235" t="s">
        <v>6</v>
      </c>
      <c r="I39" s="236" t="s">
        <v>77</v>
      </c>
      <c r="J39" s="306"/>
      <c r="K39" s="501" t="str">
        <f t="shared" si="19"/>
        <v/>
      </c>
      <c r="L39" s="306" t="str">
        <f>IFERROR(VLOOKUP(B40,'Aktuelle Einnahmen'!A2:J104,10,0),"")</f>
        <v/>
      </c>
      <c r="M39" s="510" t="str">
        <f>M29</f>
        <v>Stufe C</v>
      </c>
      <c r="N39" s="237"/>
      <c r="O39" s="238"/>
      <c r="P39" s="238"/>
      <c r="Q39" s="239"/>
      <c r="R39" s="240"/>
      <c r="S39" s="241"/>
      <c r="T39" s="241"/>
      <c r="U39" s="242"/>
      <c r="V39" s="243"/>
      <c r="W39" s="241"/>
      <c r="X39" s="241"/>
      <c r="Y39" s="242"/>
      <c r="Z39" s="243"/>
      <c r="AA39" s="241"/>
      <c r="AB39" s="241"/>
      <c r="AC39" s="242"/>
      <c r="AD39" s="243"/>
      <c r="AE39" s="241"/>
      <c r="AF39" s="241"/>
      <c r="AG39" s="242"/>
      <c r="AH39" s="240"/>
      <c r="AI39" s="241"/>
      <c r="AJ39" s="241"/>
      <c r="AK39" s="377"/>
      <c r="AL39" s="347"/>
      <c r="AM39" s="353"/>
      <c r="AN39" s="353"/>
      <c r="AO39" s="353"/>
      <c r="AP39" s="353"/>
      <c r="AQ39" s="349"/>
      <c r="AR39" s="768"/>
      <c r="AS39" s="768"/>
      <c r="AT39" s="768"/>
      <c r="AW39" s="339">
        <v>31</v>
      </c>
      <c r="AX39" s="341">
        <f>IFERROR(VLOOKUP(AW39,'Aktuelle Einnahmen'!A32:G128,3,0),"")</f>
        <v>0</v>
      </c>
      <c r="AY39" s="777">
        <f>IFERROR(VLOOKUP(AW39,'Aktuelle Einnahmen'!A32:G134,4,0),"")</f>
        <v>0</v>
      </c>
      <c r="AZ39" s="345">
        <f t="shared" si="4"/>
        <v>0</v>
      </c>
      <c r="BA39" s="345">
        <f t="shared" si="5"/>
        <v>0</v>
      </c>
      <c r="BB39" s="345">
        <f t="shared" si="6"/>
        <v>0</v>
      </c>
      <c r="BC39" s="358">
        <f t="shared" si="7"/>
        <v>0</v>
      </c>
      <c r="BD39" s="1299"/>
      <c r="BE39" s="339">
        <v>64</v>
      </c>
      <c r="BF39" s="341">
        <f>IFERROR(VLOOKUP(BE39,'Aktuelle Einnahmen'!A39:G135,3,0),"")</f>
        <v>0</v>
      </c>
      <c r="BG39" s="777">
        <f>IFERROR(VLOOKUP(BE39,'Aktuelle Einnahmen'!A39:G135,4,0),"")</f>
        <v>0</v>
      </c>
      <c r="BH39" s="345">
        <f t="shared" si="8"/>
        <v>0</v>
      </c>
      <c r="BI39" s="345">
        <f t="shared" si="9"/>
        <v>0</v>
      </c>
      <c r="BJ39" s="345">
        <f t="shared" si="10"/>
        <v>0</v>
      </c>
      <c r="BK39" s="358">
        <f t="shared" si="11"/>
        <v>0</v>
      </c>
      <c r="BM39" s="337">
        <v>97</v>
      </c>
      <c r="BN39" s="343">
        <f>IFERROR(VLOOKUP(BM39,'Aktuelle Einnahmen'!A39:G135,3,0),"")</f>
        <v>0</v>
      </c>
      <c r="BO39" s="775">
        <f>IFERROR(VLOOKUP(BM39,'Aktuelle Einnahmen'!A39:G135,4,0),"")</f>
        <v>0</v>
      </c>
      <c r="BP39" s="345">
        <f t="shared" si="12"/>
        <v>0</v>
      </c>
      <c r="BQ39" s="345">
        <f t="shared" si="13"/>
        <v>0</v>
      </c>
      <c r="BR39" s="345">
        <f t="shared" si="14"/>
        <v>0</v>
      </c>
      <c r="BS39" s="358">
        <f t="shared" si="15"/>
        <v>0</v>
      </c>
      <c r="BT39" s="335"/>
      <c r="BU39" s="335"/>
      <c r="BV39" s="335"/>
      <c r="BW39" s="335"/>
      <c r="BX39" s="335"/>
      <c r="BY39" s="335"/>
      <c r="BZ39" s="335"/>
      <c r="CA39" s="335"/>
      <c r="CB39" s="335"/>
      <c r="CC39" s="335"/>
      <c r="CD39" s="335"/>
      <c r="CE39" s="335"/>
      <c r="CF39" s="335"/>
      <c r="CG39" s="335"/>
      <c r="CH39" s="335"/>
      <c r="CI39" s="335"/>
    </row>
    <row r="40" spans="1:87" ht="23" customHeight="1">
      <c r="A40" s="181">
        <f t="shared" si="3"/>
        <v>45292</v>
      </c>
      <c r="B40" s="182">
        <v>4</v>
      </c>
      <c r="C40" s="183" t="str">
        <f>IFERROR(VLOOKUP($B40,'Aktuelle Einnahmen'!A2:G104,3,0),"")</f>
        <v>Davis</v>
      </c>
      <c r="D40" s="184" t="str">
        <f>IFERROR(VLOOKUP($B40,'Aktuelle Einnahmen'!A2:G104,2,0),"")</f>
        <v>David</v>
      </c>
      <c r="E40" s="185" t="str">
        <f>IFERROR(VLOOKUP($B40,'Aktuelle Einnahmen'!A2:G104,4,0),"")</f>
        <v>10 XVII 77 / 17 D</v>
      </c>
      <c r="F40" s="94">
        <f>IFERROR(VLOOKUP($B40,'Aktuelle Einnahmen'!A2:G104,5,0),"")</f>
        <v>1</v>
      </c>
      <c r="G40" s="94">
        <f>IFERROR(VLOOKUP($B40,'Aktuelle Einnahmen'!A2:G104,6,0),"")</f>
        <v>12</v>
      </c>
      <c r="H40" s="94">
        <f>IFERROR(VLOOKUP($B40,'Aktuelle Einnahmen'!A2:G104,7,0),"")</f>
        <v>20</v>
      </c>
      <c r="I40" s="186">
        <f>DATE(H40,G40,F40)</f>
        <v>7641</v>
      </c>
      <c r="J40" s="472">
        <f ca="1">J30</f>
        <v>45475</v>
      </c>
      <c r="K40" s="501" t="str">
        <f t="shared" si="19"/>
        <v>+Inflat.-P</v>
      </c>
      <c r="L40" s="1262" t="str">
        <f>IFERROR(VLOOKUP(B40,'Aktuelle Einnahmen'!A2:I104,9,0),"")</f>
        <v>Vermögend und stationär</v>
      </c>
      <c r="M40" s="1263"/>
      <c r="N40" s="261"/>
      <c r="O40" s="261"/>
      <c r="P40" s="261"/>
      <c r="Q40" s="261"/>
      <c r="R40" s="189"/>
      <c r="S40" s="190"/>
      <c r="T40" s="190"/>
      <c r="U40" s="191"/>
      <c r="V40" s="192"/>
      <c r="W40" s="190"/>
      <c r="X40" s="190"/>
      <c r="Y40" s="191"/>
      <c r="Z40" s="192"/>
      <c r="AA40" s="190"/>
      <c r="AB40" s="190"/>
      <c r="AC40" s="191"/>
      <c r="AD40" s="192"/>
      <c r="AE40" s="190"/>
      <c r="AF40" s="190"/>
      <c r="AG40" s="191"/>
      <c r="AH40" s="193"/>
      <c r="AI40" s="190"/>
      <c r="AJ40" s="190"/>
      <c r="AK40" s="374"/>
      <c r="AL40" s="348"/>
      <c r="AM40" s="354"/>
      <c r="AN40" s="354"/>
      <c r="AO40" s="354"/>
      <c r="AP40" s="354"/>
      <c r="AQ40" s="350"/>
      <c r="AR40" s="769"/>
      <c r="AS40" s="769"/>
      <c r="AT40" s="769"/>
      <c r="AW40" s="339">
        <v>32</v>
      </c>
      <c r="AX40" s="341">
        <f>IFERROR(VLOOKUP(AW40,'Aktuelle Einnahmen'!A33:G129,3,0),"")</f>
        <v>0</v>
      </c>
      <c r="AY40" s="777">
        <f>IFERROR(VLOOKUP(AW40,'Aktuelle Einnahmen'!A33:G135,4,0),"")</f>
        <v>0</v>
      </c>
      <c r="AZ40" s="345">
        <f t="shared" si="4"/>
        <v>0</v>
      </c>
      <c r="BA40" s="345">
        <f t="shared" si="5"/>
        <v>0</v>
      </c>
      <c r="BB40" s="345">
        <f t="shared" si="6"/>
        <v>0</v>
      </c>
      <c r="BC40" s="358">
        <f t="shared" si="7"/>
        <v>0</v>
      </c>
      <c r="BD40" s="1299"/>
      <c r="BE40" s="339">
        <v>65</v>
      </c>
      <c r="BF40" s="341">
        <f>IFERROR(VLOOKUP(BE40,'Aktuelle Einnahmen'!A40:G136,3,0),"")</f>
        <v>0</v>
      </c>
      <c r="BG40" s="777">
        <f>IFERROR(VLOOKUP(BE40,'Aktuelle Einnahmen'!A40:G136,4,0),"")</f>
        <v>0</v>
      </c>
      <c r="BH40" s="345">
        <f t="shared" si="8"/>
        <v>0</v>
      </c>
      <c r="BI40" s="345">
        <f t="shared" si="9"/>
        <v>0</v>
      </c>
      <c r="BJ40" s="345">
        <f t="shared" si="10"/>
        <v>0</v>
      </c>
      <c r="BK40" s="358">
        <f t="shared" si="11"/>
        <v>0</v>
      </c>
      <c r="BM40" s="337">
        <v>98</v>
      </c>
      <c r="BN40" s="343">
        <f>IFERROR(VLOOKUP(BM40,'Aktuelle Einnahmen'!A40:G136,3,0),"")</f>
        <v>0</v>
      </c>
      <c r="BO40" s="775">
        <f>IFERROR(VLOOKUP(BM40,'Aktuelle Einnahmen'!A40:G136,4,0),"")</f>
        <v>0</v>
      </c>
      <c r="BP40" s="345">
        <f t="shared" si="12"/>
        <v>0</v>
      </c>
      <c r="BQ40" s="345">
        <f t="shared" si="13"/>
        <v>0</v>
      </c>
      <c r="BR40" s="345">
        <f t="shared" si="14"/>
        <v>0</v>
      </c>
      <c r="BS40" s="358">
        <f t="shared" si="15"/>
        <v>0</v>
      </c>
      <c r="BT40" s="335"/>
      <c r="BU40" s="335"/>
      <c r="BV40" s="335"/>
      <c r="BW40" s="335"/>
      <c r="BX40" s="335"/>
      <c r="BY40" s="335"/>
      <c r="BZ40" s="335"/>
      <c r="CA40" s="335"/>
      <c r="CB40" s="335"/>
      <c r="CC40" s="335"/>
      <c r="CD40" s="335"/>
      <c r="CE40" s="335"/>
      <c r="CF40" s="335"/>
      <c r="CG40" s="335"/>
      <c r="CH40" s="335"/>
      <c r="CI40" s="335"/>
    </row>
    <row r="41" spans="1:87" ht="22.25" customHeight="1" thickBot="1">
      <c r="A41" s="181">
        <f t="shared" si="3"/>
        <v>45292</v>
      </c>
      <c r="B41" s="484">
        <f>DAY(I40)</f>
        <v>1</v>
      </c>
      <c r="C41" s="489" t="s">
        <v>158</v>
      </c>
      <c r="D41" s="520">
        <f>(I41*4)+J41/3+1</f>
        <v>13</v>
      </c>
      <c r="E41" s="194">
        <f>J43+1</f>
        <v>45262</v>
      </c>
      <c r="F41" s="195">
        <f t="shared" ref="F41:F48" si="26">DAY(E41)</f>
        <v>2</v>
      </c>
      <c r="G41" s="196">
        <f t="shared" ref="G41:G48" si="27">MONTH(E41)</f>
        <v>12</v>
      </c>
      <c r="H41" s="195">
        <f t="shared" ref="H41:H48" si="28">YEAR(E41)</f>
        <v>2023</v>
      </c>
      <c r="I41" s="197">
        <f>H41-(H40+2000)</f>
        <v>3</v>
      </c>
      <c r="J41" s="198">
        <f>G41-G40</f>
        <v>0</v>
      </c>
      <c r="K41" s="506" t="str">
        <f>L39</f>
        <v/>
      </c>
      <c r="L41" s="469"/>
      <c r="M41" s="473" t="str">
        <f ca="1">SUM(J40-E42)&amp;" Tage"</f>
        <v>123 Tage</v>
      </c>
      <c r="N41" s="206"/>
      <c r="O41" s="201"/>
      <c r="P41" s="201"/>
      <c r="Q41" s="202"/>
      <c r="R41" s="189"/>
      <c r="S41" s="203"/>
      <c r="T41" s="203"/>
      <c r="U41" s="204"/>
      <c r="V41" s="192"/>
      <c r="W41" s="203"/>
      <c r="X41" s="203"/>
      <c r="Y41" s="204"/>
      <c r="Z41" s="192"/>
      <c r="AA41" s="203"/>
      <c r="AB41" s="203"/>
      <c r="AC41" s="204"/>
      <c r="AD41" s="192"/>
      <c r="AE41" s="203"/>
      <c r="AF41" s="203"/>
      <c r="AG41" s="204"/>
      <c r="AH41" s="193"/>
      <c r="AI41" s="203"/>
      <c r="AJ41" s="203"/>
      <c r="AK41" s="375"/>
      <c r="AL41" s="348"/>
      <c r="AM41" s="354"/>
      <c r="AN41" s="354"/>
      <c r="AO41" s="354"/>
      <c r="AP41" s="354"/>
      <c r="AQ41" s="350"/>
      <c r="AR41" s="769"/>
      <c r="AS41" s="769"/>
      <c r="AT41" s="769"/>
      <c r="AW41" s="340">
        <v>33</v>
      </c>
      <c r="AX41" s="342">
        <f>IFERROR(VLOOKUP(AW41,'Aktuelle Einnahmen'!A34:G130,3,0),"")</f>
        <v>0</v>
      </c>
      <c r="AY41" s="777">
        <f>IFERROR(VLOOKUP(AW41,'Aktuelle Einnahmen'!A34:G136,4,0),"")</f>
        <v>0</v>
      </c>
      <c r="AZ41" s="359">
        <f>AM1036</f>
        <v>0</v>
      </c>
      <c r="BA41" s="359">
        <f t="shared" si="5"/>
        <v>0</v>
      </c>
      <c r="BB41" s="359">
        <f t="shared" si="6"/>
        <v>0</v>
      </c>
      <c r="BC41" s="360">
        <f t="shared" si="7"/>
        <v>0</v>
      </c>
      <c r="BD41" s="1299"/>
      <c r="BE41" s="340">
        <v>66</v>
      </c>
      <c r="BF41" s="342">
        <f>IFERROR(VLOOKUP(BE41,'Aktuelle Einnahmen'!A41:G137,3,0),"")</f>
        <v>0</v>
      </c>
      <c r="BG41" s="777">
        <f>IFERROR(VLOOKUP(BE41,'Aktuelle Einnahmen'!A41:G137,4,0),"")</f>
        <v>0</v>
      </c>
      <c r="BH41" s="359">
        <f>AM1069</f>
        <v>0</v>
      </c>
      <c r="BI41" s="359">
        <f t="shared" si="9"/>
        <v>0</v>
      </c>
      <c r="BJ41" s="359">
        <f t="shared" si="10"/>
        <v>0</v>
      </c>
      <c r="BK41" s="360">
        <f t="shared" si="11"/>
        <v>0</v>
      </c>
      <c r="BM41" s="338">
        <v>99</v>
      </c>
      <c r="BN41" s="344">
        <f>IFERROR(VLOOKUP(BM41,'Aktuelle Einnahmen'!A41:G137,3,0),"")</f>
        <v>0</v>
      </c>
      <c r="BO41" s="775">
        <f>IFERROR(VLOOKUP(BM41,'Aktuelle Einnahmen'!A41:G137,4,0),"")</f>
        <v>0</v>
      </c>
      <c r="BP41" s="359">
        <f t="shared" si="12"/>
        <v>0</v>
      </c>
      <c r="BQ41" s="359">
        <f t="shared" si="13"/>
        <v>0</v>
      </c>
      <c r="BR41" s="359">
        <f t="shared" si="14"/>
        <v>0</v>
      </c>
      <c r="BS41" s="360">
        <f t="shared" si="15"/>
        <v>0</v>
      </c>
      <c r="BT41" s="335"/>
      <c r="BU41" s="335"/>
      <c r="BV41" s="335"/>
      <c r="BW41" s="335"/>
      <c r="BX41" s="335"/>
      <c r="BY41" s="335"/>
      <c r="BZ41" s="335"/>
      <c r="CA41" s="335"/>
      <c r="CB41" s="335"/>
      <c r="CC41" s="335"/>
      <c r="CD41" s="335"/>
      <c r="CE41" s="335"/>
      <c r="CF41" s="335"/>
      <c r="CG41" s="335"/>
      <c r="CH41" s="335"/>
      <c r="CI41" s="335"/>
    </row>
    <row r="42" spans="1:87" ht="22.25" customHeight="1">
      <c r="A42" s="181">
        <f t="shared" si="3"/>
        <v>45292</v>
      </c>
      <c r="B42" s="485"/>
      <c r="C42" s="490"/>
      <c r="D42" s="521"/>
      <c r="E42" s="194">
        <f>DATE(YEAR(E41),MONTH(E41)+3,DAY(E41)-1)</f>
        <v>45352</v>
      </c>
      <c r="F42" s="195">
        <f t="shared" si="26"/>
        <v>1</v>
      </c>
      <c r="G42" s="196">
        <f t="shared" si="27"/>
        <v>3</v>
      </c>
      <c r="H42" s="195">
        <f t="shared" si="28"/>
        <v>2024</v>
      </c>
      <c r="I42" s="244">
        <v>-1</v>
      </c>
      <c r="J42" s="198">
        <f>F41-F40</f>
        <v>1</v>
      </c>
      <c r="K42" s="501" t="str">
        <f t="shared" si="19"/>
        <v>+Inflat.-P</v>
      </c>
      <c r="L42" s="511">
        <f>IF(M39="Stufe A",IF(AND(L40="Auswahl treffen",D41&gt;=0,D41&lt;=1000),J39,IF(AND(L40="Vermögend und ambulant",D41&gt;8,D41&lt;=1000),130,IF(AND(L40="Vermögend und ambulant",D41&gt;4,D41&lt;=8),158,IF(AND(L40="Vermögend und ambulant",D41&gt;2,D41&lt;=4),192,IF(AND(L40="Vermögend und ambulant",D41&gt;1,D41&lt;=2),208,IF(AND(L40="Vermögend und ambulant",D41&gt;0,D41&lt;=1),298,IF(AND(L40="Vermögend und stationär",D41&gt;8,D41&lt;=1000),78,IF(AND(L40="Vermögend und stationär",D41&gt;4,D41&lt;=8),91,IF(AND(L40="Vermögend und stationär",D41&gt;2,D41&lt;=4),140,IF(AND(L40="Vermögend und stationär",D41&gt;1,D41&lt;=2),158,IF(AND(L40="Vermögend und stationär",D41&gt;0,D41&lt;=1),200,IF(AND(L40="Mittellos und ambulant",D41&gt;8,D41&lt;=1000),105,IF(AND(L40="Mittellos und ambulant",D41&gt;4,D41&lt;=8),122,IF(AND(L40="Mittellos und ambulant",D41&gt;2,D41&lt;=4),151,IF(AND(L40="Mittellos und ambulant",D41&gt;1,D41&lt;=2),170,IF(AND(L40="Mittellos und ambulant",D41&gt;0,D41&lt;=1),208,IF(AND(L40="Mittellos und stationär",D41&gt;8,D41&lt;=1000),62,IF(AND(L40="Mittellos und stationär",D41&gt;4,D41&lt;=8),87,IF(AND(L40="Mittellos und stationär",D41&gt;2,D41&lt;=4),124,IF(AND(L40="Mittellos und stationär",D41&gt;1,D41&lt;=2),129,IF(AND(L40="Mittellos und stationär",D41&gt;0,D41&lt;=1),194,""))))))))))))))))))))),IF(M39="Stufe B",IF(AND(L40="Auswahl treffen",D41&gt;=0,D41&lt;=1000),J39,IF(AND(L40="Vermögend und ambulant",D41&gt;8,D41&lt;=1000),161,IF(AND(L40="Vermögend und ambulant",D41&gt;4,D41&lt;=8),196,IF(AND(L40="Vermögend und ambulant",D41&gt;2,D41&lt;=4),238,IF(AND(L40="Vermögend und ambulant",D41&gt;1,D41&lt;=2),258,IF(AND(L40="Vermögend und ambulant",D41&gt;0,D41&lt;=1),370,IF(AND(L40="Vermögend und stationär",D41&gt;8,D41&lt;=1000),96,IF(AND(L40="Vermögend und stationär",D41&gt;4,D41&lt;=8),113,IF(AND(L40="Vermögend und stationär",D41&gt;2,D41&lt;=4),174,IF(AND(L40="Vermögend und stationär",D41&gt;1,D41&lt;=2),196,IF(AND(L40="Vermögend und stationär",D41&gt;0,D41&lt;=1),249,IF(AND(L40="Mittellos und ambulant",D41&gt;8,D41&lt;=1000),130,IF(AND(L40="Mittellos und ambulant",D41&gt;4,D41&lt;=8),151,IF(AND(L40="Mittellos und ambulant",D41&gt;2,D41&lt;=4),188,IF(AND(L40="Mittellos und ambulant",D41&gt;1,D41&lt;=2),211,IF(AND(L40="Mittellos und ambulant",D41&gt;0,D41&lt;=1),258,IF(AND(L40="Mittellos und stationär",D41&gt;8,D41&lt;=1000),78,IF(AND(L40="Mittellos und stationär",D41&gt;4,D41&lt;=8),107,IF(AND(L40="Mittellos und stationär",D41&gt;2,D41&lt;=4),154,IF(AND(L40="Mittellos und stationär",D41&gt;1,D41&lt;=2),158,IF(AND(L40="Mittellos und stationär",D41&gt;0,D41&lt;=1),241,""))))))))))))))))))))),IF(M39="Stufe C",IF(AND(L40="Auswahl treffen",D41&gt;=0,D41&lt;=1000),J39,IF(AND(L40="Vermögend und ambulant",D41&gt;8,D41&lt;=1000),211,IF(AND(L40="Vermögend und ambulant",D41&gt;4,D41&lt;=8),257,IF(AND(L40="Vermögend und ambulant",D41&gt;2,D41&lt;=4),312,IF(AND(L40="Vermögend und ambulant",D41&gt;1,D41&lt;=2),339,IF(AND(L40="Vermögend und ambulant",D41&gt;0,D41&lt;=1),486,IF(AND(L40="Vermögend und stationär",D41&gt;8,D41&lt;=1000),127,IF(AND(L40="Vermögend und stationär",D41&gt;4,D41&lt;=8),149,IF(AND(L40="Vermögend und stationär",D41&gt;2,D41&lt;=4),229,IF(AND(L40="Vermögend und stationär",D41&gt;1,D41&lt;=2),257,IF(AND(L40="Vermögend und stationär",D41&gt;0,D41&lt;=1),327,IF(AND(L40="Mittellos und ambulant",D41&gt;8,D41&lt;=1000),171,IF(AND(L40="Mittellos und ambulant",D41&gt;4,D41&lt;=8),198,IF(AND(L40="Mittellos und ambulant",D41&gt;2,D41&lt;=4),246,IF(AND(L40="Mittellos und ambulant",D41&gt;1,D41&lt;=2),277,IF(AND(L40="Mittellos und ambulant",D41&gt;0,D41&lt;=1),339,IF(AND(L40="Mittellos und stationär",D41&gt;8,D41&lt;=1000),102,IF(AND(L40="Mittellos und stationär",D41&gt;4,D41&lt;=8),141,IF(AND(L40="Mittellos und stationär",D41&gt;2,D41&lt;=4),202,IF(AND(L40="Mittellos und stationär",D41&gt;1,D41&lt;=2),208,IF(AND(L40="Mittellos und stationär",D41&gt;0,D41&lt;=1),317,""))))))))))))))))))))),"")))*3+(J39*90)</f>
        <v>381</v>
      </c>
      <c r="M42" s="507" t="str">
        <f>CONCATENATE(K42, K41)</f>
        <v>+Inflat.-P</v>
      </c>
      <c r="N42" s="206" t="s">
        <v>118</v>
      </c>
      <c r="O42" s="207"/>
      <c r="P42" s="207"/>
      <c r="Q42" s="208"/>
      <c r="R42" s="187"/>
      <c r="S42" s="209" t="s">
        <v>118</v>
      </c>
      <c r="T42" s="201" t="s">
        <v>117</v>
      </c>
      <c r="U42" s="210" t="s">
        <v>26</v>
      </c>
      <c r="V42" s="192"/>
      <c r="W42" s="203"/>
      <c r="X42" s="203"/>
      <c r="Y42" s="210"/>
      <c r="Z42" s="192"/>
      <c r="AA42" s="203"/>
      <c r="AB42" s="203"/>
      <c r="AC42" s="210"/>
      <c r="AD42" s="192"/>
      <c r="AE42" s="203"/>
      <c r="AF42" s="203"/>
      <c r="AG42" s="210"/>
      <c r="AH42" s="193"/>
      <c r="AI42" s="203"/>
      <c r="AJ42" s="203"/>
      <c r="AK42" s="376"/>
      <c r="AL42" s="348" t="s">
        <v>148</v>
      </c>
      <c r="AM42" s="354">
        <f>IF(SUM(N40:N48)=SUM(S40:S48), 0, SUM(N40:N48)-SUM(S40:S48))</f>
        <v>0</v>
      </c>
      <c r="AN42" s="354"/>
      <c r="AO42" s="354"/>
      <c r="AP42" s="354"/>
      <c r="AQ42" s="350">
        <f>AM42+AN42+AO42+AP42</f>
        <v>0</v>
      </c>
      <c r="AR42" s="769"/>
      <c r="AS42" s="769"/>
      <c r="AT42" s="769"/>
      <c r="AW42" s="335"/>
      <c r="AX42" s="335"/>
      <c r="AY42" s="778"/>
      <c r="AZ42" s="335"/>
      <c r="BA42" s="335"/>
      <c r="BB42" s="335"/>
      <c r="BC42" s="335"/>
      <c r="BD42" s="1299"/>
      <c r="BE42" s="335"/>
      <c r="BF42" s="335"/>
      <c r="BG42" s="778"/>
      <c r="BH42" s="335"/>
      <c r="BI42" s="335"/>
      <c r="BJ42" s="335"/>
      <c r="BK42" s="335"/>
      <c r="BM42" s="334"/>
      <c r="BP42" s="335"/>
      <c r="BQ42" s="335"/>
      <c r="BR42" s="335"/>
      <c r="BS42" s="335"/>
      <c r="BT42" s="335"/>
      <c r="BU42" s="335"/>
      <c r="BV42" s="335"/>
      <c r="BW42" s="335"/>
      <c r="BX42" s="335"/>
      <c r="BY42" s="335"/>
      <c r="BZ42" s="335"/>
      <c r="CA42" s="335"/>
      <c r="CB42" s="335"/>
      <c r="CC42" s="335"/>
      <c r="CD42" s="335"/>
      <c r="CE42" s="335"/>
      <c r="CF42" s="335"/>
      <c r="CG42" s="335"/>
      <c r="CH42" s="335"/>
      <c r="CI42" s="335"/>
    </row>
    <row r="43" spans="1:87" ht="22.25" customHeight="1">
      <c r="A43" s="181">
        <f t="shared" si="3"/>
        <v>45292</v>
      </c>
      <c r="B43" s="484">
        <f>MONTH(I40)</f>
        <v>12</v>
      </c>
      <c r="C43" s="489" t="s">
        <v>158</v>
      </c>
      <c r="D43" s="522">
        <f>D41+1</f>
        <v>14</v>
      </c>
      <c r="E43" s="211">
        <f>DATE(YEAR(E42),MONTH(E42),DAY(E42)+1)</f>
        <v>45353</v>
      </c>
      <c r="F43" s="212">
        <f t="shared" si="26"/>
        <v>2</v>
      </c>
      <c r="G43" s="213">
        <f t="shared" si="27"/>
        <v>3</v>
      </c>
      <c r="H43" s="212">
        <f t="shared" si="28"/>
        <v>2024</v>
      </c>
      <c r="I43" s="214" t="str">
        <f>IF(D40&lt;&gt;0,"-1T","")</f>
        <v>-1T</v>
      </c>
      <c r="J43" s="215">
        <f>DATE($B45,I44,$B41)</f>
        <v>45261</v>
      </c>
      <c r="K43" s="506" t="str">
        <f t="shared" si="19"/>
        <v/>
      </c>
      <c r="L43" s="470"/>
      <c r="M43" s="473" t="str">
        <f ca="1">SUM(J40-E44)&amp;" Tage"</f>
        <v>31 Tage</v>
      </c>
      <c r="N43" s="216"/>
      <c r="O43" s="217"/>
      <c r="P43" s="188"/>
      <c r="Q43" s="217"/>
      <c r="R43" s="189"/>
      <c r="S43" s="190"/>
      <c r="T43" s="190"/>
      <c r="U43" s="191"/>
      <c r="V43" s="192"/>
      <c r="W43" s="190"/>
      <c r="X43" s="190"/>
      <c r="Y43" s="191"/>
      <c r="Z43" s="192"/>
      <c r="AA43" s="190"/>
      <c r="AB43" s="190"/>
      <c r="AC43" s="191"/>
      <c r="AD43" s="192"/>
      <c r="AE43" s="190"/>
      <c r="AF43" s="190"/>
      <c r="AG43" s="191"/>
      <c r="AH43" s="193"/>
      <c r="AI43" s="190"/>
      <c r="AJ43" s="190"/>
      <c r="AK43" s="374"/>
      <c r="AL43" s="348"/>
      <c r="AM43" s="354"/>
      <c r="AN43" s="354"/>
      <c r="AO43" s="354"/>
      <c r="AP43" s="354"/>
      <c r="AQ43" s="350"/>
      <c r="AR43" s="769"/>
      <c r="AS43" s="769"/>
      <c r="AT43" s="769"/>
      <c r="AW43" s="335"/>
      <c r="AX43" s="335"/>
      <c r="AY43" s="778"/>
      <c r="AZ43" s="335"/>
      <c r="BA43" s="335"/>
      <c r="BB43" s="335"/>
      <c r="BC43" s="335"/>
      <c r="BD43" s="1299"/>
      <c r="BE43" s="335"/>
      <c r="BF43" s="335"/>
      <c r="BG43" s="778"/>
      <c r="BH43" s="335"/>
      <c r="BI43" s="335"/>
      <c r="BJ43" s="335"/>
      <c r="BK43" s="335"/>
      <c r="BM43" s="334"/>
      <c r="BP43" s="335"/>
      <c r="BQ43" s="335"/>
      <c r="BR43" s="335"/>
      <c r="BS43" s="335"/>
      <c r="BT43" s="335"/>
      <c r="BU43" s="335"/>
      <c r="BV43" s="335"/>
      <c r="BW43" s="335"/>
      <c r="BX43" s="335"/>
      <c r="BY43" s="335"/>
      <c r="BZ43" s="335"/>
      <c r="CA43" s="335"/>
      <c r="CB43" s="335"/>
      <c r="CC43" s="335"/>
      <c r="CD43" s="335"/>
      <c r="CE43" s="335"/>
      <c r="CF43" s="335"/>
      <c r="CG43" s="335"/>
      <c r="CH43" s="335"/>
      <c r="CI43" s="335"/>
    </row>
    <row r="44" spans="1:87" ht="22.25" customHeight="1">
      <c r="A44" s="181">
        <f t="shared" si="3"/>
        <v>45292</v>
      </c>
      <c r="B44" s="485"/>
      <c r="C44" s="490"/>
      <c r="D44" s="521"/>
      <c r="E44" s="218">
        <f>DATE(YEAR(E43),MONTH(E43)+3,DAY(E43)-1)</f>
        <v>45444</v>
      </c>
      <c r="F44" s="212">
        <f t="shared" si="26"/>
        <v>1</v>
      </c>
      <c r="G44" s="213">
        <f t="shared" si="27"/>
        <v>6</v>
      </c>
      <c r="H44" s="212">
        <f t="shared" si="28"/>
        <v>2024</v>
      </c>
      <c r="I44" s="219">
        <f>MAX(I45:I48)</f>
        <v>12</v>
      </c>
      <c r="J44" s="220">
        <f>DATE(YEAR(J43)+1,MONTH(J43),DAY(J43))</f>
        <v>45627</v>
      </c>
      <c r="K44" s="501" t="str">
        <f t="shared" si="19"/>
        <v>+Inflat.-P</v>
      </c>
      <c r="L44" s="508">
        <f>IF(M39="Stufe A",IF(AND(L40="Auswahl treffen",D43&gt;=0,D43&lt;=1000),J39,IF(AND(L40="Vermögend und ambulant",D43&gt;8,D43&lt;=1000),130,IF(AND(L40="Vermögend und ambulant",D43&gt;4,D43&lt;=8),158,IF(AND(L40="Vermögend und ambulant",D43&gt;2,D43&lt;=4),192,IF(AND(L40="Vermögend und ambulant",D43&gt;1,D43&lt;=2),208,IF(AND(L40="Vermögend und ambulant",D43&gt;0,D43&lt;=1),298,IF(AND(L40="Vermögend und stationär",D43&gt;8,D43&lt;=1000),78,IF(AND(L40="Vermögend und stationär",D43&gt;4,D43&lt;=8),91,IF(AND(L40="Vermögend und stationär",D43&gt;2,D43&lt;=4),140,IF(AND(L40="Vermögend und stationär",D43&gt;1,D43&lt;=2),158,IF(AND(L40="Vermögend und stationär",D43&gt;0,D43&lt;=1),200,IF(AND(L40="Mittellos und ambulant",D43&gt;8,D43&lt;=1000),105,IF(AND(L40="Mittellos und ambulant",D43&gt;4,D43&lt;=8),122,IF(AND(L40="Mittellos und ambulant",D43&gt;2,D43&lt;=4),151,IF(AND(L40="Mittellos und ambulant",D43&gt;1,D43&lt;=2),170,IF(AND(L40="Mittellos und ambulant",D43&gt;0,D43&lt;=1),208,IF(AND(L40="Mittellos und stationär",D43&gt;8,D43&lt;=1000),62,IF(AND(L40="Mittellos und stationär",D43&gt;4,D43&lt;=8),87,IF(AND(L40="Mittellos und stationär",D43&gt;2,D43&lt;=4),124,IF(AND(L40="Mittellos und stationär",D43&gt;1,D43&lt;=2),129,IF(AND(L40="Mittellos und stationär",D43&gt;0,D43&lt;=1),194,""))))))))))))))))))))),IF(M39="Stufe B",IF(AND(L40="Auswahl treffen",D43&gt;=0,D43&lt;=1000),J39,IF(AND(L40="Vermögend und ambulant",D43&gt;8,D43&lt;=1000),161,IF(AND(L40="Vermögend und ambulant",D43&gt;4,D43&lt;=8),196,IF(AND(L40="Vermögend und ambulant",D43&gt;2,D43&lt;=4),238,IF(AND(L40="Vermögend und ambulant",D43&gt;1,D43&lt;=2),258,IF(AND(L40="Vermögend und ambulant",D43&gt;0,D43&lt;=1),370,IF(AND(L40="Vermögend und stationär",D43&gt;8,D43&lt;=1000),96,IF(AND(L40="Vermögend und stationär",D43&gt;4,D43&lt;=8),113,IF(AND(L40="Vermögend und stationär",D43&gt;2,D43&lt;=4),174,IF(AND(L40="Vermögend und stationär",D43&gt;1,D43&lt;=2),196,IF(AND(L40="Vermögend und stationär",D43&gt;0,D43&lt;=1),249,IF(AND(L40="Mittellos und ambulant",D43&gt;8,D43&lt;=1000),130,IF(AND(L40="Mittellos und ambulant",D43&gt;4,D43&lt;=8),151,IF(AND(L40="Mittellos und ambulant",D43&gt;2,D43&lt;=4),188,IF(AND(L40="Mittellos und ambulant",D43&gt;1,D43&lt;=2),211,IF(AND(L40="Mittellos und ambulant",D43&gt;0,D43&lt;=1),258,IF(AND(L40="Mittellos und stationär",D43&gt;8,D43&lt;=1000),78,IF(AND(L40="Mittellos und stationär",D43&gt;4,D43&lt;=8),107,IF(AND(L40="Mittellos und stationär",D43&gt;2,D43&lt;=4),154,IF(AND(L40="Mittellos und stationär",D43&gt;1,D43&lt;=2),158,IF(AND(L40="Mittellos und stationär",D43&gt;0,D43&lt;=1),241,""))))))))))))))))))))),IF(M39="Stufe C",IF(AND(L40="Auswahl treffen",D43&gt;=0,D43&lt;=1000),J39,IF(AND(L40="Vermögend und ambulant",D43&gt;8,D43&lt;=1000),211,IF(AND(L40="Vermögend und ambulant",D43&gt;4,D43&lt;=8),257,IF(AND(L40="Vermögend und ambulant",D43&gt;2,D43&lt;=4),312,IF(AND(L40="Vermögend und ambulant",D43&gt;1,D43&lt;=2),339,IF(AND(L40="Vermögend und ambulant",D43&gt;0,D43&lt;=1),486,IF(AND(L40="Vermögend und stationär",D43&gt;8,D43&lt;=1000),127,IF(AND(L40="Vermögend und stationär",D43&gt;4,D43&lt;=8),149,IF(AND(L40="Vermögend und stationär",D43&gt;2,D43&lt;=4),229,IF(AND(L40="Vermögend und stationär",D43&gt;1,D43&lt;=2),257,IF(AND(L40="Vermögend und stationär",D43&gt;0,D43&lt;=1),327,IF(AND(L40="Mittellos und ambulant",D43&gt;8,D43&lt;=1000),171,IF(AND(L40="Mittellos und ambulant",D43&gt;4,D43&lt;=8),198,IF(AND(L40="Mittellos und ambulant",D43&gt;2,D43&lt;=4),246,IF(AND(L40="Mittellos und ambulant",D43&gt;1,D43&lt;=2),277,IF(AND(L40="Mittellos und ambulant",D43&gt;0,D43&lt;=1),339,IF(AND(L40="Mittellos und stationär",D43&gt;8,D43&lt;=1000),102,IF(AND(L40="Mittellos und stationär",D43&gt;4,D43&lt;=8),141,IF(AND(L40="Mittellos und stationär",D43&gt;2,D43&lt;=4),202,IF(AND(L40="Mittellos und stationär",D43&gt;1,D43&lt;=2),208,IF(AND(L40="Mittellos und stationär",D43&gt;0,D43&lt;=1),317,""))))))))))))))))))))),"")))*3+(J39*90)</f>
        <v>381</v>
      </c>
      <c r="M44" s="507" t="str">
        <f>CONCATENATE(K44, K43)</f>
        <v>+Inflat.-P</v>
      </c>
      <c r="N44" s="216"/>
      <c r="O44" s="188" t="s">
        <v>118</v>
      </c>
      <c r="P44" s="188"/>
      <c r="Q44" s="221"/>
      <c r="R44" s="199"/>
      <c r="S44" s="190"/>
      <c r="T44" s="190"/>
      <c r="U44" s="191"/>
      <c r="V44" s="192"/>
      <c r="W44" s="222" t="s">
        <v>118</v>
      </c>
      <c r="X44" s="222" t="s">
        <v>117</v>
      </c>
      <c r="Y44" s="191" t="s">
        <v>26</v>
      </c>
      <c r="Z44" s="192"/>
      <c r="AA44" s="190"/>
      <c r="AB44" s="190"/>
      <c r="AC44" s="191"/>
      <c r="AD44" s="192"/>
      <c r="AE44" s="190"/>
      <c r="AF44" s="190"/>
      <c r="AG44" s="191"/>
      <c r="AH44" s="193"/>
      <c r="AI44" s="190"/>
      <c r="AJ44" s="190"/>
      <c r="AK44" s="374"/>
      <c r="AL44" s="348" t="s">
        <v>149</v>
      </c>
      <c r="AM44" s="354"/>
      <c r="AN44" s="354">
        <f>IF(SUM(O40:O48)=SUM(W40:W48), 0, SUM(O40:O48)-SUM(W40:W48))</f>
        <v>0</v>
      </c>
      <c r="AO44" s="354"/>
      <c r="AP44" s="354"/>
      <c r="AQ44" s="350">
        <f>AM44+AN44+AO44+AP44</f>
        <v>0</v>
      </c>
      <c r="AR44" s="769"/>
      <c r="AS44" s="769"/>
      <c r="AT44" s="769"/>
      <c r="AW44" s="335"/>
      <c r="AX44" s="335"/>
      <c r="AY44" s="778"/>
      <c r="AZ44" s="335"/>
      <c r="BA44" s="335"/>
      <c r="BB44" s="335"/>
      <c r="BC44" s="335"/>
      <c r="BD44" s="1299"/>
      <c r="BE44" s="335"/>
      <c r="BF44" s="335"/>
      <c r="BG44" s="778"/>
      <c r="BH44" s="335"/>
      <c r="BI44" s="335"/>
      <c r="BJ44" s="335"/>
      <c r="BK44" s="335"/>
      <c r="BM44" s="334"/>
      <c r="BP44" s="335"/>
      <c r="BQ44" s="335"/>
      <c r="BR44" s="335"/>
      <c r="BS44" s="335"/>
      <c r="BT44" s="335"/>
      <c r="BU44" s="335"/>
      <c r="BV44" s="335"/>
      <c r="BW44" s="335"/>
      <c r="BX44" s="335"/>
      <c r="BY44" s="335"/>
      <c r="BZ44" s="335"/>
      <c r="CA44" s="335"/>
      <c r="CB44" s="335"/>
      <c r="CC44" s="335"/>
      <c r="CD44" s="335"/>
      <c r="CE44" s="335"/>
      <c r="CF44" s="335"/>
      <c r="CG44" s="335"/>
      <c r="CH44" s="335"/>
      <c r="CI44" s="335"/>
    </row>
    <row r="45" spans="1:87" ht="22.25" customHeight="1">
      <c r="A45" s="181">
        <f t="shared" si="3"/>
        <v>45292</v>
      </c>
      <c r="B45" s="484">
        <f>YEAR($A46)-1</f>
        <v>2023</v>
      </c>
      <c r="C45" s="489" t="s">
        <v>158</v>
      </c>
      <c r="D45" s="520">
        <f>D43+1</f>
        <v>15</v>
      </c>
      <c r="E45" s="194">
        <f>DATE(YEAR(E44),MONTH(E44),DAY(E44)+1)</f>
        <v>45445</v>
      </c>
      <c r="F45" s="195">
        <f t="shared" si="26"/>
        <v>2</v>
      </c>
      <c r="G45" s="196">
        <f t="shared" si="27"/>
        <v>6</v>
      </c>
      <c r="H45" s="195">
        <f t="shared" si="28"/>
        <v>2024</v>
      </c>
      <c r="I45" s="223" t="str">
        <f>IF(J47&lt;13,J47,"")</f>
        <v/>
      </c>
      <c r="J45" s="224">
        <f>G40</f>
        <v>12</v>
      </c>
      <c r="K45" s="506" t="str">
        <f t="shared" si="19"/>
        <v/>
      </c>
      <c r="L45" s="471"/>
      <c r="M45" s="473" t="str">
        <f ca="1">SUM(J40-E46)&amp;" Tage"</f>
        <v>-61 Tage</v>
      </c>
      <c r="N45" s="200"/>
      <c r="O45" s="201"/>
      <c r="P45" s="201"/>
      <c r="Q45" s="202"/>
      <c r="R45" s="189"/>
      <c r="S45" s="203"/>
      <c r="T45" s="203"/>
      <c r="U45" s="204"/>
      <c r="V45" s="192"/>
      <c r="W45" s="203"/>
      <c r="X45" s="203"/>
      <c r="Y45" s="204"/>
      <c r="Z45" s="192"/>
      <c r="AA45" s="203"/>
      <c r="AB45" s="203"/>
      <c r="AC45" s="204"/>
      <c r="AD45" s="192"/>
      <c r="AE45" s="203"/>
      <c r="AF45" s="203"/>
      <c r="AG45" s="204"/>
      <c r="AH45" s="193"/>
      <c r="AI45" s="203"/>
      <c r="AJ45" s="203"/>
      <c r="AK45" s="375"/>
      <c r="AL45" s="348"/>
      <c r="AM45" s="354"/>
      <c r="AN45" s="354"/>
      <c r="AO45" s="354"/>
      <c r="AP45" s="354"/>
      <c r="AQ45" s="350"/>
      <c r="AR45" s="769"/>
      <c r="AS45" s="769"/>
      <c r="AT45" s="769"/>
      <c r="AW45" s="335"/>
      <c r="AX45" s="335"/>
      <c r="AY45" s="778"/>
      <c r="AZ45" s="335"/>
      <c r="BA45" s="335"/>
      <c r="BB45" s="335"/>
      <c r="BC45" s="335"/>
      <c r="BD45" s="1299"/>
      <c r="BE45" s="335"/>
      <c r="BF45" s="335"/>
      <c r="BG45" s="778"/>
      <c r="BH45" s="335"/>
      <c r="BI45" s="335"/>
      <c r="BJ45" s="335"/>
      <c r="BK45" s="335"/>
      <c r="BM45" s="334"/>
      <c r="BP45" s="335"/>
      <c r="BQ45" s="335"/>
      <c r="BR45" s="335"/>
      <c r="BS45" s="335"/>
      <c r="BT45" s="335"/>
      <c r="BU45" s="335"/>
      <c r="BV45" s="335"/>
      <c r="BW45" s="335"/>
      <c r="BX45" s="335"/>
      <c r="BY45" s="335"/>
      <c r="BZ45" s="335"/>
      <c r="CA45" s="335"/>
      <c r="CB45" s="335"/>
      <c r="CC45" s="335"/>
      <c r="CD45" s="335"/>
      <c r="CE45" s="335"/>
      <c r="CF45" s="335"/>
      <c r="CG45" s="335"/>
      <c r="CH45" s="335"/>
      <c r="CI45" s="335"/>
    </row>
    <row r="46" spans="1:87" ht="22.25" customHeight="1">
      <c r="A46" s="181">
        <f t="shared" si="3"/>
        <v>45292</v>
      </c>
      <c r="B46" s="485"/>
      <c r="C46" s="490"/>
      <c r="D46" s="521"/>
      <c r="E46" s="194">
        <f>DATE(YEAR(E45),MONTH(E45)+3,DAY(E45)-1)</f>
        <v>45536</v>
      </c>
      <c r="F46" s="195">
        <f t="shared" si="26"/>
        <v>1</v>
      </c>
      <c r="G46" s="196">
        <f t="shared" si="27"/>
        <v>9</v>
      </c>
      <c r="H46" s="195">
        <f t="shared" si="28"/>
        <v>2024</v>
      </c>
      <c r="I46" s="225" t="str">
        <f>IF(J48&lt;13,J48,"")</f>
        <v/>
      </c>
      <c r="J46" s="224">
        <f>J45+3</f>
        <v>15</v>
      </c>
      <c r="K46" s="501" t="str">
        <f t="shared" si="19"/>
        <v>+Inflat.-P</v>
      </c>
      <c r="L46" s="511">
        <f>IF(M39="Stufe A",IF(AND(L40="Auswahl treffen",D45&gt;=0,D45&lt;=1000),J39,IF(AND(L40="Vermögend und ambulant",D45&gt;8,D45&lt;=1000),130,IF(AND(L40="Vermögend und ambulant",D45&gt;4,D45&lt;=8),158,IF(AND(L40="Vermögend und ambulant",D45&gt;2,D45&lt;=4),192,IF(AND(L40="Vermögend und ambulant",D45&gt;1,D45&lt;=2),208,IF(AND(L40="Vermögend und ambulant",D45&gt;0,D45&lt;=1),298,IF(AND(L40="Vermögend und stationär",D45&gt;8,D45&lt;=1000),78,IF(AND(L40="Vermögend und stationär",D45&gt;4,D45&lt;=8),91,IF(AND(L40="Vermögend und stationär",D45&gt;2,D45&lt;=4),140,IF(AND(L40="Vermögend und stationär",D45&gt;1,D45&lt;=2),158,IF(AND(L40="Vermögend und stationär",D45&gt;0,D45&lt;=1),200,IF(AND(L40="Mittellos und ambulant",D45&gt;8,D45&lt;=1000),105,IF(AND(L40="Mittellos und ambulant",D45&gt;4,D45&lt;=8),122,IF(AND(L40="Mittellos und ambulant",D45&gt;2,D45&lt;=4),151,IF(AND(L40="Mittellos und ambulant",D45&gt;1,D45&lt;=2),170,IF(AND(L40="Mittellos und ambulant",D45&gt;0,D45&lt;=1),208,IF(AND(L40="Mittellos und stationär",D45&gt;8,D45&lt;=1000),62,IF(AND(L40="Mittellos und stationär",D45&gt;4,D45&lt;=8),87,IF(AND(L40="Mittellos und stationär",D45&gt;2,D45&lt;=4),124,IF(AND(L40="Mittellos und stationär",D45&gt;1,D45&lt;=2),129,IF(AND(L40="Mittellos und stationär",D45&gt;0,D45&lt;=1),194,""))))))))))))))))))))),IF(M39="Stufe B",IF(AND(L40="Auswahl treffen",D45&gt;=0,D45&lt;=1000),J39,IF(AND(L40="Vermögend und ambulant",D45&gt;8,D45&lt;=1000),161,IF(AND(L40="Vermögend und ambulant",D45&gt;4,D45&lt;=8),196,IF(AND(L40="Vermögend und ambulant",D45&gt;2,D45&lt;=4),238,IF(AND(L40="Vermögend und ambulant",D45&gt;1,D45&lt;=2),258,IF(AND(L40="Vermögend und ambulant",D45&gt;0,D45&lt;=1),370,IF(AND(L40="Vermögend und stationär",D45&gt;8,D45&lt;=1000),96,IF(AND(L40="Vermögend und stationär",D45&gt;4,D45&lt;=8),113,IF(AND(L40="Vermögend und stationär",D45&gt;2,D45&lt;=4),174,IF(AND(L40="Vermögend und stationär",D45&gt;1,D45&lt;=2),196,IF(AND(L40="Vermögend und stationär",D45&gt;0,D45&lt;=1),249,IF(AND(L40="Mittellos und ambulant",D45&gt;8,D45&lt;=1000),130,IF(AND(L40="Mittellos und ambulant",D45&gt;4,D45&lt;=8),151,IF(AND(L40="Mittellos und ambulant",D45&gt;2,D45&lt;=4),188,IF(AND(L40="Mittellos und ambulant",D45&gt;1,D45&lt;=2),211,IF(AND(L40="Mittellos und ambulant",D45&gt;0,D45&lt;=1),258,IF(AND(L40="Mittellos und stationär",D45&gt;8,D45&lt;=1000),78,IF(AND(L40="Mittellos und stationär",D45&gt;4,D45&lt;=8),107,IF(AND(L40="Mittellos und stationär",D45&gt;2,D45&lt;=4),154,IF(AND(L40="Mittellos und stationär",D45&gt;1,D45&lt;=2),158,IF(AND(L40="Mittellos und stationär",D45&gt;0,D45&lt;=1),241,""))))))))))))))))))))),IF(M39="Stufe C",IF(AND(L40="Auswahl treffen",D45&gt;=0,D45&lt;=1000),J39,IF(AND(L40="Vermögend und ambulant",D45&gt;8,D45&lt;=1000),211,IF(AND(L40="Vermögend und ambulant",D45&gt;4,D45&lt;=8),257,IF(AND(L40="Vermögend und ambulant",D45&gt;2,D45&lt;=4),312,IF(AND(L40="Vermögend und ambulant",D45&gt;1,D45&lt;=2),339,IF(AND(L40="Vermögend und ambulant",D45&gt;0,D45&lt;=1),486,IF(AND(L40="Vermögend und stationär",D45&gt;8,D45&lt;=1000),127,IF(AND(L40="Vermögend und stationär",D45&gt;4,D45&lt;=8),149,IF(AND(L40="Vermögend und stationär",D45&gt;2,D45&lt;=4),229,IF(AND(L40="Vermögend und stationär",D45&gt;1,D45&lt;=2),257,IF(AND(L40="Vermögend und stationär",D45&gt;0,D45&lt;=1),327,IF(AND(L40="Mittellos und ambulant",D45&gt;8,D45&lt;=1000),171,IF(AND(L40="Mittellos und ambulant",D45&gt;4,D45&lt;=8),198,IF(AND(L40="Mittellos und ambulant",D45&gt;2,D45&lt;=4),246,IF(AND(L40="Mittellos und ambulant",D45&gt;1,D45&lt;=2),277,IF(AND(L40="Mittellos und ambulant",D45&gt;0,D45&lt;=1),339,IF(AND(L40="Mittellos und stationär",D45&gt;8,D45&lt;=1000),102,IF(AND(L40="Mittellos und stationär",D45&gt;4,D45&lt;=8),141,IF(AND(L40="Mittellos und stationär",D45&gt;2,D45&lt;=4),202,IF(AND(L40="Mittellos und stationär",D45&gt;1,D45&lt;=2),208,IF(AND(L40="Mittellos und stationär",D45&gt;0,D45&lt;=1),317,""))))))))))))))))))))),"")))*3+(J39*90)</f>
        <v>381</v>
      </c>
      <c r="M46" s="507" t="str">
        <f>CONCATENATE(K46, K45)</f>
        <v>+Inflat.-P</v>
      </c>
      <c r="N46" s="206"/>
      <c r="O46" s="207"/>
      <c r="P46" s="206" t="s">
        <v>118</v>
      </c>
      <c r="Q46" s="226"/>
      <c r="R46" s="189"/>
      <c r="S46" s="203"/>
      <c r="T46" s="203"/>
      <c r="U46" s="204"/>
      <c r="V46" s="192"/>
      <c r="W46" s="203"/>
      <c r="X46" s="203"/>
      <c r="Y46" s="204"/>
      <c r="Z46" s="192"/>
      <c r="AA46" s="209" t="s">
        <v>118</v>
      </c>
      <c r="AB46" s="209" t="s">
        <v>117</v>
      </c>
      <c r="AC46" s="204" t="s">
        <v>26</v>
      </c>
      <c r="AD46" s="192"/>
      <c r="AE46" s="203"/>
      <c r="AF46" s="203"/>
      <c r="AG46" s="204"/>
      <c r="AH46" s="193"/>
      <c r="AI46" s="203"/>
      <c r="AJ46" s="203"/>
      <c r="AK46" s="375"/>
      <c r="AL46" s="348" t="s">
        <v>150</v>
      </c>
      <c r="AM46" s="354"/>
      <c r="AN46" s="354"/>
      <c r="AO46" s="354">
        <f>IF(SUM(P40:P48)=SUM(AA40:AA48), 0, SUM(P40:P48)-SUM(AA40:AA48))</f>
        <v>0</v>
      </c>
      <c r="AP46" s="354"/>
      <c r="AQ46" s="350">
        <f>AM46+AN46+AO46+AP46</f>
        <v>0</v>
      </c>
      <c r="AR46" s="769"/>
      <c r="AS46" s="769"/>
      <c r="AT46" s="769"/>
      <c r="AW46" s="335"/>
      <c r="AX46" s="335"/>
      <c r="AY46" s="778"/>
      <c r="AZ46" s="335"/>
      <c r="BA46" s="335"/>
      <c r="BB46" s="335"/>
      <c r="BC46" s="335"/>
      <c r="BD46" s="1299"/>
      <c r="BE46" s="335"/>
      <c r="BF46" s="335"/>
      <c r="BG46" s="778"/>
      <c r="BH46" s="335"/>
      <c r="BI46" s="335"/>
      <c r="BJ46" s="335"/>
      <c r="BK46" s="335"/>
      <c r="BM46" s="334"/>
      <c r="BP46" s="335"/>
      <c r="BQ46" s="335"/>
      <c r="BR46" s="335"/>
      <c r="BS46" s="335"/>
      <c r="BT46" s="335"/>
      <c r="BU46" s="335"/>
      <c r="BV46" s="335"/>
      <c r="BW46" s="335"/>
      <c r="BX46" s="335"/>
      <c r="BY46" s="335"/>
      <c r="BZ46" s="335"/>
      <c r="CA46" s="335"/>
      <c r="CB46" s="335"/>
      <c r="CC46" s="335"/>
      <c r="CD46" s="335"/>
      <c r="CE46" s="335"/>
      <c r="CF46" s="335"/>
      <c r="CG46" s="335"/>
      <c r="CH46" s="335"/>
      <c r="CI46" s="335"/>
    </row>
    <row r="47" spans="1:87" ht="22.25" customHeight="1">
      <c r="A47" s="181">
        <f t="shared" si="3"/>
        <v>45292</v>
      </c>
      <c r="B47" s="486"/>
      <c r="C47" s="489" t="s">
        <v>158</v>
      </c>
      <c r="D47" s="522">
        <f>D45+1</f>
        <v>16</v>
      </c>
      <c r="E47" s="211">
        <f>DATE(YEAR(E46),MONTH(E46),DAY(E46)+1)</f>
        <v>45537</v>
      </c>
      <c r="F47" s="227">
        <f t="shared" si="26"/>
        <v>2</v>
      </c>
      <c r="G47" s="228">
        <f t="shared" si="27"/>
        <v>9</v>
      </c>
      <c r="H47" s="227">
        <f t="shared" si="28"/>
        <v>2024</v>
      </c>
      <c r="I47" s="229" t="str">
        <f>IF(J46&lt;13,J46,"")</f>
        <v/>
      </c>
      <c r="J47" s="230">
        <f>J48+3</f>
        <v>21</v>
      </c>
      <c r="K47" s="501" t="str">
        <f t="shared" si="19"/>
        <v/>
      </c>
      <c r="L47" s="471"/>
      <c r="M47" s="473" t="str">
        <f ca="1">SUM(J40-E48)&amp;" Tage"</f>
        <v>-152 Tage</v>
      </c>
      <c r="N47" s="216"/>
      <c r="O47" s="188"/>
      <c r="P47" s="188"/>
      <c r="Q47" s="217"/>
      <c r="R47" s="189"/>
      <c r="S47" s="190"/>
      <c r="T47" s="190"/>
      <c r="U47" s="191"/>
      <c r="V47" s="192"/>
      <c r="W47" s="190"/>
      <c r="X47" s="190"/>
      <c r="Y47" s="191"/>
      <c r="Z47" s="192"/>
      <c r="AA47" s="190"/>
      <c r="AB47" s="190"/>
      <c r="AC47" s="191"/>
      <c r="AD47" s="192"/>
      <c r="AE47" s="190"/>
      <c r="AF47" s="190"/>
      <c r="AG47" s="191"/>
      <c r="AH47" s="193"/>
      <c r="AI47" s="190"/>
      <c r="AJ47" s="190"/>
      <c r="AK47" s="374"/>
      <c r="AL47" s="348"/>
      <c r="AM47" s="354"/>
      <c r="AN47" s="354"/>
      <c r="AO47" s="354"/>
      <c r="AP47" s="354"/>
      <c r="AQ47" s="350"/>
      <c r="AR47" s="769"/>
      <c r="AS47" s="769"/>
      <c r="AT47" s="769"/>
      <c r="AW47" s="335"/>
      <c r="AX47" s="335"/>
      <c r="AY47" s="778"/>
      <c r="AZ47" s="335"/>
      <c r="BA47" s="335"/>
      <c r="BB47" s="335"/>
      <c r="BC47" s="335"/>
      <c r="BD47" s="1299"/>
      <c r="BE47" s="335"/>
      <c r="BF47" s="335"/>
      <c r="BG47" s="778"/>
      <c r="BH47" s="335"/>
      <c r="BI47" s="335"/>
      <c r="BJ47" s="335"/>
      <c r="BK47" s="335"/>
      <c r="BM47" s="334"/>
      <c r="BP47" s="335"/>
      <c r="BQ47" s="335"/>
      <c r="BR47" s="335"/>
      <c r="BS47" s="335"/>
      <c r="BT47" s="335"/>
      <c r="BU47" s="335"/>
      <c r="BV47" s="335"/>
      <c r="BW47" s="335"/>
      <c r="BX47" s="335"/>
      <c r="BY47" s="335"/>
      <c r="BZ47" s="335"/>
      <c r="CA47" s="335"/>
      <c r="CB47" s="335"/>
      <c r="CC47" s="335"/>
      <c r="CD47" s="335"/>
      <c r="CE47" s="335"/>
      <c r="CF47" s="335"/>
      <c r="CG47" s="335"/>
      <c r="CH47" s="335"/>
      <c r="CI47" s="335"/>
    </row>
    <row r="48" spans="1:87" ht="22.25" customHeight="1">
      <c r="A48" s="181">
        <f t="shared" si="3"/>
        <v>45292</v>
      </c>
      <c r="B48" s="485"/>
      <c r="C48" s="490"/>
      <c r="D48" s="521"/>
      <c r="E48" s="218">
        <f>DATE(YEAR(E47),MONTH(E47)+3,DAY(E47)-1)</f>
        <v>45627</v>
      </c>
      <c r="F48" s="227">
        <f t="shared" si="26"/>
        <v>1</v>
      </c>
      <c r="G48" s="228">
        <f t="shared" si="27"/>
        <v>12</v>
      </c>
      <c r="H48" s="227">
        <f t="shared" si="28"/>
        <v>2024</v>
      </c>
      <c r="I48" s="231">
        <f>IF(J45&lt;13,J45,"")</f>
        <v>12</v>
      </c>
      <c r="J48" s="230">
        <f>J46+3</f>
        <v>18</v>
      </c>
      <c r="K48" s="506" t="str">
        <f t="shared" si="19"/>
        <v>+Inflat.-P</v>
      </c>
      <c r="L48" s="508">
        <f>IF(M39="Stufe A",IF(AND(L40="Auswahl treffen",D47&gt;=0,D47&lt;=1000),J39,IF(AND(L40="Vermögend und ambulant",D47&gt;8,D47&lt;=1000),130,IF(AND(L40="Vermögend und ambulant",D47&gt;4,D47&lt;=8),158,IF(AND(L40="Vermögend und ambulant",D47&gt;2,D47&lt;=4),192,IF(AND(L40="Vermögend und ambulant",D47&gt;1,D47&lt;=2),208,IF(AND(L40="Vermögend und ambulant",D47&gt;0,D47&lt;=1),298,IF(AND(L40="Vermögend und stationär",D47&gt;8,D47&lt;=1000),78,IF(AND(L40="Vermögend und stationär",D47&gt;4,D47&lt;=8),91,IF(AND(L40="Vermögend und stationär",D47&gt;2,D47&lt;=4),140,IF(AND(L40="Vermögend und stationär",D47&gt;1,D47&lt;=2),158,IF(AND(L40="Vermögend und stationär",D47&gt;0,D47&lt;=1),200,IF(AND(L40="Mittellos und ambulant",D47&gt;8,D47&lt;=1000),105,IF(AND(L40="Mittellos und ambulant",D47&gt;4,D47&lt;=8),122,IF(AND(L40="Mittellos und ambulant",D47&gt;2,D47&lt;=4),151,IF(AND(L40="Mittellos und ambulant",D47&gt;1,D47&lt;=2),170,IF(AND(L40="Mittellos und ambulant",D47&gt;0,D47&lt;=1),208,IF(AND(L40="Mittellos und stationär",D47&gt;8,D47&lt;=1000),62,IF(AND(L40="Mittellos und stationär",D47&gt;4,D47&lt;=8),87,IF(AND(L40="Mittellos und stationär",D47&gt;2,D47&lt;=4),124,IF(AND(L40="Mittellos und stationär",D47&gt;1,D47&lt;=2),129,IF(AND(L40="Mittellos und stationär",D47&gt;0,D47&lt;=1),194,""))))))))))))))))))))),IF(M39="Stufe B",IF(AND(L40="Auswahl treffen",D47&gt;=0,D47&lt;=1000),J39,IF(AND(L40="Vermögend und ambulant",D47&gt;8,D47&lt;=1000),161,IF(AND(L40="Vermögend und ambulant",D47&gt;4,D47&lt;=8),196,IF(AND(L40="Vermögend und ambulant",D47&gt;2,D47&lt;=4),238,IF(AND(L40="Vermögend und ambulant",D47&gt;1,D47&lt;=2),258,IF(AND(L40="Vermögend und ambulant",D47&gt;0,D47&lt;=1),370,IF(AND(L40="Vermögend und stationär",D47&gt;8,D47&lt;=1000),96,IF(AND(L40="Vermögend und stationär",D47&gt;4,D47&lt;=8),113,IF(AND(L40="Vermögend und stationär",D47&gt;2,D47&lt;=4),174,IF(AND(L40="Vermögend und stationär",D47&gt;1,D47&lt;=2),196,IF(AND(L40="Vermögend und stationär",D47&gt;0,D47&lt;=1),249,IF(AND(L40="Mittellos und ambulant",D47&gt;8,D47&lt;=1000),130,IF(AND(L40="Mittellos und ambulant",D47&gt;4,D47&lt;=8),151,IF(AND(L40="Mittellos und ambulant",D47&gt;2,D47&lt;=4),188,IF(AND(L40="Mittellos und ambulant",D47&gt;1,D47&lt;=2),211,IF(AND(L40="Mittellos und ambulant",D47&gt;0,D47&lt;=1),258,IF(AND(L40="Mittellos und stationär",D47&gt;8,D47&lt;=1000),78,IF(AND(L40="Mittellos und stationär",D47&gt;4,D47&lt;=8),107,IF(AND(L40="Mittellos und stationär",D47&gt;2,D47&lt;=4),154,IF(AND(L40="Mittellos und stationär",D47&gt;1,D47&lt;=2),158,IF(AND(L40="Mittellos und stationär",D47&gt;0,D47&lt;=1),241,""))))))))))))))))))))),IF(M39="Stufe C",IF(AND(L40="Auswahl treffen",D47&gt;=0,D47&lt;=1000),J39,IF(AND(L40="Vermögend und ambulant",D47&gt;8,D47&lt;=1000),211,IF(AND(L40="Vermögend und ambulant",D47&gt;4,D47&lt;=8),257,IF(AND(L40="Vermögend und ambulant",D47&gt;2,D47&lt;=4),312,IF(AND(L40="Vermögend und ambulant",D47&gt;1,D47&lt;=2),339,IF(AND(L40="Vermögend und ambulant",D47&gt;0,D47&lt;=1),486,IF(AND(L40="Vermögend und stationär",D47&gt;8,D47&lt;=1000),127,IF(AND(L40="Vermögend und stationär",D47&gt;4,D47&lt;=8),149,IF(AND(L40="Vermögend und stationär",D47&gt;2,D47&lt;=4),229,IF(AND(L40="Vermögend und stationär",D47&gt;1,D47&lt;=2),257,IF(AND(L40="Vermögend und stationär",D47&gt;0,D47&lt;=1),327,IF(AND(L40="Mittellos und ambulant",D47&gt;8,D47&lt;=1000),171,IF(AND(L40="Mittellos und ambulant",D47&gt;4,D47&lt;=8),198,IF(AND(L40="Mittellos und ambulant",D47&gt;2,D47&lt;=4),246,IF(AND(L40="Mittellos und ambulant",D47&gt;1,D47&lt;=2),277,IF(AND(L40="Mittellos und ambulant",D47&gt;0,D47&lt;=1),339,IF(AND(L40="Mittellos und stationär",D47&gt;8,D47&lt;=1000),102,IF(AND(L40="Mittellos und stationär",D47&gt;4,D47&lt;=8),141,IF(AND(L40="Mittellos und stationär",D47&gt;2,D47&lt;=4),202,IF(AND(L40="Mittellos und stationär",D47&gt;1,D47&lt;=2),208,IF(AND(L40="Mittellos und stationär",D47&gt;0,D47&lt;=1),317,""))))))))))))))))))))),"")))*3+(J39*90)</f>
        <v>381</v>
      </c>
      <c r="M48" s="507" t="str">
        <f>CONCATENATE(K48, K47)</f>
        <v>+Inflat.-P</v>
      </c>
      <c r="N48" s="216"/>
      <c r="O48" s="188"/>
      <c r="P48" s="188"/>
      <c r="Q48" s="217" t="s">
        <v>118</v>
      </c>
      <c r="R48" s="189"/>
      <c r="S48" s="190"/>
      <c r="T48" s="190"/>
      <c r="U48" s="191"/>
      <c r="V48" s="192"/>
      <c r="W48" s="190"/>
      <c r="X48" s="190"/>
      <c r="Y48" s="191"/>
      <c r="Z48" s="192"/>
      <c r="AA48" s="190"/>
      <c r="AB48" s="190"/>
      <c r="AC48" s="191"/>
      <c r="AD48" s="192"/>
      <c r="AE48" s="190" t="s">
        <v>118</v>
      </c>
      <c r="AF48" s="190" t="s">
        <v>117</v>
      </c>
      <c r="AG48" s="191" t="s">
        <v>26</v>
      </c>
      <c r="AH48" s="193"/>
      <c r="AI48" s="190" t="s">
        <v>118</v>
      </c>
      <c r="AJ48" s="190" t="s">
        <v>117</v>
      </c>
      <c r="AK48" s="374" t="s">
        <v>26</v>
      </c>
      <c r="AL48" s="348" t="s">
        <v>151</v>
      </c>
      <c r="AM48" s="354"/>
      <c r="AN48" s="354"/>
      <c r="AO48" s="354"/>
      <c r="AP48" s="354">
        <f>IF(SUM(Q40:Q48)=SUM(AE40:AE48,AI40:AI48), 0, SUM(Q40:Q48)-SUM(AE40:AE48,AI40:AI48))</f>
        <v>0</v>
      </c>
      <c r="AQ48" s="350">
        <f>AM48+AN48+AO48+AP48</f>
        <v>0</v>
      </c>
      <c r="AR48" s="769"/>
      <c r="AS48" s="769"/>
      <c r="AT48" s="769"/>
      <c r="AW48" s="335"/>
      <c r="AX48" s="335"/>
      <c r="AY48" s="778"/>
      <c r="AZ48" s="335"/>
      <c r="BA48" s="335"/>
      <c r="BB48" s="335"/>
      <c r="BC48" s="335"/>
      <c r="BD48" s="1299"/>
      <c r="BE48" s="335"/>
      <c r="BF48" s="335"/>
      <c r="BG48" s="778"/>
      <c r="BH48" s="335"/>
      <c r="BI48" s="335"/>
      <c r="BJ48" s="335"/>
      <c r="BK48" s="335"/>
      <c r="BM48" s="334"/>
      <c r="BP48" s="335"/>
      <c r="BQ48" s="335"/>
      <c r="BR48" s="335"/>
      <c r="BS48" s="335"/>
      <c r="BT48" s="335"/>
      <c r="BU48" s="335"/>
      <c r="BV48" s="335"/>
      <c r="BW48" s="335"/>
      <c r="BX48" s="335"/>
      <c r="BY48" s="335"/>
      <c r="BZ48" s="335"/>
      <c r="CA48" s="335"/>
      <c r="CB48" s="335"/>
      <c r="CC48" s="335"/>
      <c r="CD48" s="335"/>
      <c r="CE48" s="335"/>
      <c r="CF48" s="335"/>
      <c r="CG48" s="335"/>
      <c r="CH48" s="335"/>
      <c r="CI48" s="335"/>
    </row>
    <row r="49" spans="1:87" ht="22" customHeight="1">
      <c r="A49" s="181">
        <f t="shared" si="3"/>
        <v>45292</v>
      </c>
      <c r="B49" s="232" t="s">
        <v>74</v>
      </c>
      <c r="C49" s="233" t="s">
        <v>75</v>
      </c>
      <c r="D49" s="234" t="s">
        <v>76</v>
      </c>
      <c r="E49" s="235" t="s">
        <v>11</v>
      </c>
      <c r="F49" s="235" t="s">
        <v>4</v>
      </c>
      <c r="G49" s="235" t="s">
        <v>5</v>
      </c>
      <c r="H49" s="235" t="s">
        <v>6</v>
      </c>
      <c r="I49" s="236" t="s">
        <v>77</v>
      </c>
      <c r="J49" s="306"/>
      <c r="K49" s="501" t="str">
        <f t="shared" si="19"/>
        <v/>
      </c>
      <c r="L49" s="306" t="str">
        <f>IFERROR(VLOOKUP(B50,'Aktuelle Einnahmen'!A2:J104,10,0),"")</f>
        <v/>
      </c>
      <c r="M49" s="510" t="str">
        <f>M39</f>
        <v>Stufe C</v>
      </c>
      <c r="N49" s="237"/>
      <c r="O49" s="238"/>
      <c r="P49" s="238"/>
      <c r="Q49" s="239"/>
      <c r="R49" s="240"/>
      <c r="S49" s="241"/>
      <c r="T49" s="241"/>
      <c r="U49" s="242"/>
      <c r="V49" s="243"/>
      <c r="W49" s="241"/>
      <c r="X49" s="241"/>
      <c r="Y49" s="242"/>
      <c r="Z49" s="243"/>
      <c r="AA49" s="241"/>
      <c r="AB49" s="241"/>
      <c r="AC49" s="242"/>
      <c r="AD49" s="243"/>
      <c r="AE49" s="241"/>
      <c r="AF49" s="241"/>
      <c r="AG49" s="242"/>
      <c r="AH49" s="240"/>
      <c r="AI49" s="241"/>
      <c r="AJ49" s="241"/>
      <c r="AK49" s="377"/>
      <c r="AL49" s="347"/>
      <c r="AM49" s="353"/>
      <c r="AN49" s="353"/>
      <c r="AO49" s="353"/>
      <c r="AP49" s="353"/>
      <c r="AQ49" s="349"/>
      <c r="AR49" s="768"/>
      <c r="AS49" s="768"/>
      <c r="AT49" s="768"/>
      <c r="AW49" s="335"/>
      <c r="AX49" s="335"/>
      <c r="AY49" s="778"/>
      <c r="AZ49" s="335"/>
      <c r="BA49" s="335"/>
      <c r="BB49" s="335"/>
      <c r="BC49" s="335"/>
      <c r="BD49" s="1299"/>
      <c r="BE49" s="335"/>
      <c r="BF49" s="335"/>
      <c r="BG49" s="778"/>
      <c r="BH49" s="335"/>
      <c r="BI49" s="335"/>
      <c r="BJ49" s="335"/>
      <c r="BK49" s="335"/>
      <c r="BM49" s="334"/>
      <c r="BP49" s="335"/>
      <c r="BQ49" s="335"/>
      <c r="BR49" s="335"/>
      <c r="BS49" s="335"/>
      <c r="BT49" s="335"/>
      <c r="BU49" s="335"/>
      <c r="BV49" s="335"/>
      <c r="BW49" s="335"/>
      <c r="BX49" s="335"/>
      <c r="BY49" s="335"/>
      <c r="BZ49" s="335"/>
      <c r="CA49" s="335"/>
      <c r="CB49" s="335"/>
      <c r="CC49" s="335"/>
      <c r="CD49" s="335"/>
      <c r="CE49" s="335"/>
      <c r="CF49" s="335"/>
      <c r="CG49" s="335"/>
      <c r="CH49" s="335"/>
      <c r="CI49" s="335"/>
    </row>
    <row r="50" spans="1:87" ht="23" customHeight="1">
      <c r="A50" s="181">
        <f t="shared" si="3"/>
        <v>45292</v>
      </c>
      <c r="B50" s="182">
        <v>5</v>
      </c>
      <c r="C50" s="183" t="str">
        <f>IFERROR(VLOOKUP($B50,'Aktuelle Einnahmen'!A2:G104,3,0),"")</f>
        <v>Evians</v>
      </c>
      <c r="D50" s="184" t="str">
        <f>IFERROR(VLOOKUP($B50,'Aktuelle Einnahmen'!A2:G104,2,0),"")</f>
        <v>Emely</v>
      </c>
      <c r="E50" s="185" t="str">
        <f>IFERROR(VLOOKUP($B50,'Aktuelle Einnahmen'!A2:G104,4,0),"")</f>
        <v>10 XVII / 1020/17 E</v>
      </c>
      <c r="F50" s="94">
        <f>IFERROR(VLOOKUP($B50,'Aktuelle Einnahmen'!A2:G104,5,0),"")</f>
        <v>12</v>
      </c>
      <c r="G50" s="94">
        <f>IFERROR(VLOOKUP($B50,'Aktuelle Einnahmen'!A2:G104,6,0),"")</f>
        <v>12</v>
      </c>
      <c r="H50" s="94">
        <f>IFERROR(VLOOKUP($B50,'Aktuelle Einnahmen'!A2:G104,7,0),"")</f>
        <v>21</v>
      </c>
      <c r="I50" s="186">
        <f>DATE(H50,G50,F50)</f>
        <v>8017</v>
      </c>
      <c r="J50" s="472">
        <f ca="1">J40</f>
        <v>45475</v>
      </c>
      <c r="K50" s="506" t="str">
        <f t="shared" si="19"/>
        <v>+Inflat.-P</v>
      </c>
      <c r="L50" s="1262" t="str">
        <f>IFERROR(VLOOKUP(B50,'Aktuelle Einnahmen'!A2:I104,9,0),"")</f>
        <v>Vermögend und stationär</v>
      </c>
      <c r="M50" s="1263"/>
      <c r="N50" s="261"/>
      <c r="O50" s="261"/>
      <c r="P50" s="261"/>
      <c r="Q50" s="261"/>
      <c r="R50" s="189"/>
      <c r="S50" s="190"/>
      <c r="T50" s="190"/>
      <c r="U50" s="191"/>
      <c r="V50" s="192"/>
      <c r="W50" s="190"/>
      <c r="X50" s="190"/>
      <c r="Y50" s="191"/>
      <c r="Z50" s="192"/>
      <c r="AA50" s="190"/>
      <c r="AB50" s="190"/>
      <c r="AC50" s="191"/>
      <c r="AD50" s="192"/>
      <c r="AE50" s="190"/>
      <c r="AF50" s="190"/>
      <c r="AG50" s="191"/>
      <c r="AH50" s="193"/>
      <c r="AI50" s="190"/>
      <c r="AJ50" s="190"/>
      <c r="AK50" s="374"/>
      <c r="AL50" s="348"/>
      <c r="AM50" s="354"/>
      <c r="AN50" s="354"/>
      <c r="AO50" s="354"/>
      <c r="AP50" s="354"/>
      <c r="AQ50" s="350"/>
      <c r="AR50" s="769"/>
      <c r="AS50" s="769"/>
      <c r="AT50" s="769"/>
      <c r="AW50" s="335"/>
      <c r="AX50" s="335"/>
      <c r="AY50" s="778"/>
      <c r="AZ50" s="335"/>
      <c r="BA50" s="335"/>
      <c r="BB50" s="335"/>
      <c r="BC50" s="335"/>
      <c r="BD50" s="1299"/>
      <c r="BE50" s="335"/>
      <c r="BF50" s="335"/>
      <c r="BG50" s="778"/>
      <c r="BH50" s="335"/>
      <c r="BI50" s="335"/>
      <c r="BJ50" s="335"/>
      <c r="BK50" s="335"/>
      <c r="BM50" s="334"/>
      <c r="BP50" s="335"/>
      <c r="BQ50" s="335"/>
      <c r="BR50" s="335"/>
      <c r="BS50" s="335"/>
      <c r="BT50" s="335"/>
      <c r="BU50" s="335"/>
      <c r="BV50" s="335"/>
      <c r="BW50" s="335"/>
      <c r="BX50" s="335"/>
      <c r="BY50" s="335"/>
      <c r="BZ50" s="335"/>
      <c r="CA50" s="335"/>
      <c r="CB50" s="335"/>
      <c r="CC50" s="335"/>
      <c r="CD50" s="335"/>
      <c r="CE50" s="335"/>
      <c r="CF50" s="335"/>
      <c r="CG50" s="335"/>
      <c r="CH50" s="335"/>
      <c r="CI50" s="335"/>
    </row>
    <row r="51" spans="1:87" ht="22.25" customHeight="1">
      <c r="A51" s="181">
        <f t="shared" si="3"/>
        <v>45292</v>
      </c>
      <c r="B51" s="484">
        <f>DAY(I50)</f>
        <v>12</v>
      </c>
      <c r="C51" s="489" t="s">
        <v>158</v>
      </c>
      <c r="D51" s="520">
        <f>(I51*4)+J51/3+1</f>
        <v>9</v>
      </c>
      <c r="E51" s="194">
        <f>J53+1</f>
        <v>45273</v>
      </c>
      <c r="F51" s="195">
        <f t="shared" ref="F51:F58" si="29">DAY(E51)</f>
        <v>13</v>
      </c>
      <c r="G51" s="196">
        <f t="shared" ref="G51:G58" si="30">MONTH(E51)</f>
        <v>12</v>
      </c>
      <c r="H51" s="195">
        <f t="shared" ref="H51:H58" si="31">YEAR(E51)</f>
        <v>2023</v>
      </c>
      <c r="I51" s="197">
        <f>H51-(H50+2000)</f>
        <v>2</v>
      </c>
      <c r="J51" s="198">
        <f>G51-G50</f>
        <v>0</v>
      </c>
      <c r="K51" s="506" t="str">
        <f>L49</f>
        <v/>
      </c>
      <c r="L51" s="469"/>
      <c r="M51" s="473" t="str">
        <f ca="1">SUM(J50-E52)&amp;" Tage"</f>
        <v>112 Tage</v>
      </c>
      <c r="N51" s="206"/>
      <c r="O51" s="201"/>
      <c r="P51" s="201"/>
      <c r="Q51" s="202"/>
      <c r="R51" s="189"/>
      <c r="S51" s="203"/>
      <c r="T51" s="203"/>
      <c r="U51" s="204"/>
      <c r="V51" s="192"/>
      <c r="W51" s="203"/>
      <c r="X51" s="203"/>
      <c r="Y51" s="204"/>
      <c r="Z51" s="192"/>
      <c r="AA51" s="203"/>
      <c r="AB51" s="203"/>
      <c r="AC51" s="204"/>
      <c r="AD51" s="192"/>
      <c r="AE51" s="203"/>
      <c r="AF51" s="203"/>
      <c r="AG51" s="204"/>
      <c r="AH51" s="193"/>
      <c r="AI51" s="203"/>
      <c r="AJ51" s="203"/>
      <c r="AK51" s="375"/>
      <c r="AL51" s="348"/>
      <c r="AM51" s="354"/>
      <c r="AN51" s="354"/>
      <c r="AO51" s="354"/>
      <c r="AP51" s="354"/>
      <c r="AQ51" s="350"/>
      <c r="AR51" s="769"/>
      <c r="AS51" s="769"/>
      <c r="AT51" s="769"/>
      <c r="AW51" s="335"/>
      <c r="AX51" s="335"/>
      <c r="AY51" s="778"/>
      <c r="AZ51" s="335"/>
      <c r="BA51" s="335"/>
      <c r="BB51" s="335"/>
      <c r="BC51" s="335"/>
      <c r="BD51" s="1299"/>
      <c r="BE51" s="335"/>
      <c r="BF51" s="335"/>
      <c r="BG51" s="778"/>
      <c r="BH51" s="335"/>
      <c r="BI51" s="335"/>
      <c r="BJ51" s="335"/>
      <c r="BK51" s="335"/>
      <c r="BM51" s="334"/>
      <c r="BP51" s="335"/>
      <c r="BQ51" s="335"/>
      <c r="BR51" s="335"/>
      <c r="BS51" s="335"/>
      <c r="BT51" s="335"/>
      <c r="BU51" s="335"/>
      <c r="BV51" s="335"/>
      <c r="BW51" s="335"/>
      <c r="BX51" s="335"/>
      <c r="BY51" s="335"/>
      <c r="BZ51" s="335"/>
      <c r="CA51" s="335"/>
      <c r="CB51" s="335"/>
      <c r="CC51" s="335"/>
      <c r="CD51" s="335"/>
      <c r="CE51" s="335"/>
      <c r="CF51" s="335"/>
      <c r="CG51" s="335"/>
      <c r="CH51" s="335"/>
      <c r="CI51" s="335"/>
    </row>
    <row r="52" spans="1:87" ht="22.25" customHeight="1">
      <c r="A52" s="181">
        <f t="shared" si="3"/>
        <v>45292</v>
      </c>
      <c r="B52" s="485"/>
      <c r="C52" s="490"/>
      <c r="D52" s="521"/>
      <c r="E52" s="194">
        <f>DATE(YEAR(E51),MONTH(E51)+3,DAY(E51)-1)</f>
        <v>45363</v>
      </c>
      <c r="F52" s="195">
        <f t="shared" si="29"/>
        <v>12</v>
      </c>
      <c r="G52" s="196">
        <f t="shared" si="30"/>
        <v>3</v>
      </c>
      <c r="H52" s="195">
        <f t="shared" si="31"/>
        <v>2024</v>
      </c>
      <c r="I52" s="244">
        <v>-1</v>
      </c>
      <c r="J52" s="198">
        <f>F51-F50</f>
        <v>1</v>
      </c>
      <c r="K52" s="506" t="str">
        <f t="shared" si="19"/>
        <v>+Inflat.-P</v>
      </c>
      <c r="L52" s="511">
        <f>IF(M49="Stufe A",IF(AND(L50="Auswahl treffen",D51&gt;=0,D51&lt;=1000),J49,IF(AND(L50="Vermögend und ambulant",D51&gt;8,D51&lt;=1000),130,IF(AND(L50="Vermögend und ambulant",D51&gt;4,D51&lt;=8),158,IF(AND(L50="Vermögend und ambulant",D51&gt;2,D51&lt;=4),192,IF(AND(L50="Vermögend und ambulant",D51&gt;1,D51&lt;=2),208,IF(AND(L50="Vermögend und ambulant",D51&gt;0,D51&lt;=1),298,IF(AND(L50="Vermögend und stationär",D51&gt;8,D51&lt;=1000),78,IF(AND(L50="Vermögend und stationär",D51&gt;4,D51&lt;=8),91,IF(AND(L50="Vermögend und stationär",D51&gt;2,D51&lt;=4),140,IF(AND(L50="Vermögend und stationär",D51&gt;1,D51&lt;=2),158,IF(AND(L50="Vermögend und stationär",D51&gt;0,D51&lt;=1),200,IF(AND(L50="Mittellos und ambulant",D51&gt;8,D51&lt;=1000),105,IF(AND(L50="Mittellos und ambulant",D51&gt;4,D51&lt;=8),122,IF(AND(L50="Mittellos und ambulant",D51&gt;2,D51&lt;=4),151,IF(AND(L50="Mittellos und ambulant",D51&gt;1,D51&lt;=2),170,IF(AND(L50="Mittellos und ambulant",D51&gt;0,D51&lt;=1),208,IF(AND(L50="Mittellos und stationär",D51&gt;8,D51&lt;=1000),62,IF(AND(L50="Mittellos und stationär",D51&gt;4,D51&lt;=8),87,IF(AND(L50="Mittellos und stationär",D51&gt;2,D51&lt;=4),124,IF(AND(L50="Mittellos und stationär",D51&gt;1,D51&lt;=2),129,IF(AND(L50="Mittellos und stationär",D51&gt;0,D51&lt;=1),194,""))))))))))))))))))))),IF(M49="Stufe B",IF(AND(L50="Auswahl treffen",D51&gt;=0,D51&lt;=1000),J49,IF(AND(L50="Vermögend und ambulant",D51&gt;8,D51&lt;=1000),161,IF(AND(L50="Vermögend und ambulant",D51&gt;4,D51&lt;=8),196,IF(AND(L50="Vermögend und ambulant",D51&gt;2,D51&lt;=4),238,IF(AND(L50="Vermögend und ambulant",D51&gt;1,D51&lt;=2),258,IF(AND(L50="Vermögend und ambulant",D51&gt;0,D51&lt;=1),370,IF(AND(L50="Vermögend und stationär",D51&gt;8,D51&lt;=1000),96,IF(AND(L50="Vermögend und stationär",D51&gt;4,D51&lt;=8),113,IF(AND(L50="Vermögend und stationär",D51&gt;2,D51&lt;=4),174,IF(AND(L50="Vermögend und stationär",D51&gt;1,D51&lt;=2),196,IF(AND(L50="Vermögend und stationär",D51&gt;0,D51&lt;=1),249,IF(AND(L50="Mittellos und ambulant",D51&gt;8,D51&lt;=1000),130,IF(AND(L50="Mittellos und ambulant",D51&gt;4,D51&lt;=8),151,IF(AND(L50="Mittellos und ambulant",D51&gt;2,D51&lt;=4),188,IF(AND(L50="Mittellos und ambulant",D51&gt;1,D51&lt;=2),211,IF(AND(L50="Mittellos und ambulant",D51&gt;0,D51&lt;=1),258,IF(AND(L50="Mittellos und stationär",D51&gt;8,D51&lt;=1000),78,IF(AND(L50="Mittellos und stationär",D51&gt;4,D51&lt;=8),107,IF(AND(L50="Mittellos und stationär",D51&gt;2,D51&lt;=4),154,IF(AND(L50="Mittellos und stationär",D51&gt;1,D51&lt;=2),158,IF(AND(L50="Mittellos und stationär",D51&gt;0,D51&lt;=1),241,""))))))))))))))))))))),IF(M49="Stufe C",IF(AND(L50="Auswahl treffen",D51&gt;=0,D51&lt;=1000),J49,IF(AND(L50="Vermögend und ambulant",D51&gt;8,D51&lt;=1000),211,IF(AND(L50="Vermögend und ambulant",D51&gt;4,D51&lt;=8),257,IF(AND(L50="Vermögend und ambulant",D51&gt;2,D51&lt;=4),312,IF(AND(L50="Vermögend und ambulant",D51&gt;1,D51&lt;=2),339,IF(AND(L50="Vermögend und ambulant",D51&gt;0,D51&lt;=1),486,IF(AND(L50="Vermögend und stationär",D51&gt;8,D51&lt;=1000),127,IF(AND(L50="Vermögend und stationär",D51&gt;4,D51&lt;=8),149,IF(AND(L50="Vermögend und stationär",D51&gt;2,D51&lt;=4),229,IF(AND(L50="Vermögend und stationär",D51&gt;1,D51&lt;=2),257,IF(AND(L50="Vermögend und stationär",D51&gt;0,D51&lt;=1),327,IF(AND(L50="Mittellos und ambulant",D51&gt;8,D51&lt;=1000),171,IF(AND(L50="Mittellos und ambulant",D51&gt;4,D51&lt;=8),198,IF(AND(L50="Mittellos und ambulant",D51&gt;2,D51&lt;=4),246,IF(AND(L50="Mittellos und ambulant",D51&gt;1,D51&lt;=2),277,IF(AND(L50="Mittellos und ambulant",D51&gt;0,D51&lt;=1),339,IF(AND(L50="Mittellos und stationär",D51&gt;8,D51&lt;=1000),102,IF(AND(L50="Mittellos und stationär",D51&gt;4,D51&lt;=8),141,IF(AND(L50="Mittellos und stationär",D51&gt;2,D51&lt;=4),202,IF(AND(L50="Mittellos und stationär",D51&gt;1,D51&lt;=2),208,IF(AND(L50="Mittellos und stationär",D51&gt;0,D51&lt;=1),317,""))))))))))))))))))))),"")))*3+(J49*90)</f>
        <v>381</v>
      </c>
      <c r="M52" s="507" t="str">
        <f>CONCATENATE(K52, K51)</f>
        <v>+Inflat.-P</v>
      </c>
      <c r="N52" s="206" t="s">
        <v>118</v>
      </c>
      <c r="O52" s="207"/>
      <c r="P52" s="207"/>
      <c r="Q52" s="208"/>
      <c r="R52" s="187"/>
      <c r="S52" s="209" t="s">
        <v>118</v>
      </c>
      <c r="T52" s="201" t="s">
        <v>117</v>
      </c>
      <c r="U52" s="210" t="s">
        <v>26</v>
      </c>
      <c r="V52" s="192"/>
      <c r="W52" s="203"/>
      <c r="X52" s="203"/>
      <c r="Y52" s="210"/>
      <c r="Z52" s="192"/>
      <c r="AA52" s="203"/>
      <c r="AB52" s="203"/>
      <c r="AC52" s="210"/>
      <c r="AD52" s="192"/>
      <c r="AE52" s="203"/>
      <c r="AF52" s="203"/>
      <c r="AG52" s="210"/>
      <c r="AH52" s="193"/>
      <c r="AI52" s="203"/>
      <c r="AJ52" s="203"/>
      <c r="AK52" s="376"/>
      <c r="AL52" s="348" t="s">
        <v>148</v>
      </c>
      <c r="AM52" s="354">
        <f>IF(SUM(N50:N58)=SUM(S50:S58), 0, SUM(N50:N58)-SUM(S50:S58))</f>
        <v>0</v>
      </c>
      <c r="AN52" s="354"/>
      <c r="AO52" s="354"/>
      <c r="AP52" s="354"/>
      <c r="AQ52" s="350">
        <f>AM52+AN52+AO52+AP52</f>
        <v>0</v>
      </c>
      <c r="AR52" s="769"/>
      <c r="AS52" s="769"/>
      <c r="AT52" s="769"/>
      <c r="AW52" s="335"/>
      <c r="AX52" s="335"/>
      <c r="AY52" s="778"/>
      <c r="AZ52" s="335"/>
      <c r="BA52" s="335"/>
      <c r="BB52" s="335"/>
      <c r="BC52" s="335"/>
      <c r="BD52" s="1299"/>
      <c r="BE52" s="335"/>
      <c r="BF52" s="335"/>
      <c r="BG52" s="778"/>
      <c r="BH52" s="335"/>
      <c r="BI52" s="335"/>
      <c r="BJ52" s="335"/>
      <c r="BK52" s="335"/>
      <c r="BM52" s="334"/>
      <c r="BP52" s="335"/>
      <c r="BQ52" s="335"/>
      <c r="BR52" s="335"/>
      <c r="BS52" s="335"/>
      <c r="BT52" s="335"/>
      <c r="BU52" s="335"/>
      <c r="BV52" s="335"/>
      <c r="BW52" s="335"/>
      <c r="BX52" s="335"/>
      <c r="BY52" s="335"/>
      <c r="BZ52" s="335"/>
      <c r="CA52" s="335"/>
      <c r="CB52" s="335"/>
      <c r="CC52" s="335"/>
      <c r="CD52" s="335"/>
      <c r="CE52" s="335"/>
      <c r="CF52" s="335"/>
      <c r="CG52" s="335"/>
      <c r="CH52" s="335"/>
      <c r="CI52" s="335"/>
    </row>
    <row r="53" spans="1:87" ht="22.25" customHeight="1">
      <c r="A53" s="181">
        <f t="shared" si="3"/>
        <v>45292</v>
      </c>
      <c r="B53" s="484">
        <f>MONTH(I50)</f>
        <v>12</v>
      </c>
      <c r="C53" s="489" t="s">
        <v>158</v>
      </c>
      <c r="D53" s="522">
        <f>D51+1</f>
        <v>10</v>
      </c>
      <c r="E53" s="211">
        <f>DATE(YEAR(E52),MONTH(E52),DAY(E52)+1)</f>
        <v>45364</v>
      </c>
      <c r="F53" s="212">
        <f t="shared" si="29"/>
        <v>13</v>
      </c>
      <c r="G53" s="213">
        <f t="shared" si="30"/>
        <v>3</v>
      </c>
      <c r="H53" s="212">
        <f t="shared" si="31"/>
        <v>2024</v>
      </c>
      <c r="I53" s="214" t="str">
        <f>IF(D50&lt;&gt;0,"-1T","")</f>
        <v>-1T</v>
      </c>
      <c r="J53" s="215">
        <f>DATE($B55,I54,$B51)</f>
        <v>45272</v>
      </c>
      <c r="K53" s="501" t="str">
        <f t="shared" si="19"/>
        <v/>
      </c>
      <c r="L53" s="470"/>
      <c r="M53" s="473" t="str">
        <f ca="1">SUM(J50-E54)&amp;" Tage"</f>
        <v>20 Tage</v>
      </c>
      <c r="N53" s="216"/>
      <c r="O53" s="217"/>
      <c r="P53" s="188"/>
      <c r="Q53" s="217"/>
      <c r="R53" s="189"/>
      <c r="S53" s="190"/>
      <c r="T53" s="190"/>
      <c r="U53" s="191"/>
      <c r="V53" s="192"/>
      <c r="W53" s="190"/>
      <c r="X53" s="190"/>
      <c r="Y53" s="191"/>
      <c r="Z53" s="192"/>
      <c r="AA53" s="190"/>
      <c r="AB53" s="190"/>
      <c r="AC53" s="191"/>
      <c r="AD53" s="192"/>
      <c r="AE53" s="190"/>
      <c r="AF53" s="190"/>
      <c r="AG53" s="191"/>
      <c r="AH53" s="193"/>
      <c r="AI53" s="190"/>
      <c r="AJ53" s="190"/>
      <c r="AK53" s="374"/>
      <c r="AL53" s="348"/>
      <c r="AM53" s="354"/>
      <c r="AN53" s="354"/>
      <c r="AO53" s="354"/>
      <c r="AP53" s="354"/>
      <c r="AQ53" s="350"/>
      <c r="AR53" s="769"/>
      <c r="AS53" s="769"/>
      <c r="AT53" s="769"/>
      <c r="AW53" s="335"/>
      <c r="AX53" s="335"/>
      <c r="AY53" s="778"/>
      <c r="AZ53" s="335"/>
      <c r="BA53" s="335"/>
      <c r="BB53" s="335"/>
      <c r="BC53" s="335"/>
      <c r="BD53" s="1299"/>
      <c r="BE53" s="335"/>
      <c r="BF53" s="335"/>
      <c r="BG53" s="778"/>
      <c r="BH53" s="335"/>
      <c r="BI53" s="335"/>
      <c r="BJ53" s="335"/>
      <c r="BK53" s="335"/>
      <c r="BM53" s="334"/>
      <c r="BP53" s="335"/>
      <c r="BQ53" s="335"/>
      <c r="BR53" s="335"/>
      <c r="BS53" s="335"/>
      <c r="BT53" s="335"/>
      <c r="BU53" s="335"/>
      <c r="BV53" s="335"/>
      <c r="BW53" s="335"/>
      <c r="BX53" s="335"/>
      <c r="BY53" s="335"/>
      <c r="BZ53" s="335"/>
      <c r="CA53" s="335"/>
      <c r="CB53" s="335"/>
      <c r="CC53" s="335"/>
      <c r="CD53" s="335"/>
      <c r="CE53" s="335"/>
      <c r="CF53" s="335"/>
      <c r="CG53" s="335"/>
      <c r="CH53" s="335"/>
      <c r="CI53" s="335"/>
    </row>
    <row r="54" spans="1:87" ht="22.25" customHeight="1">
      <c r="A54" s="181">
        <f t="shared" si="3"/>
        <v>45292</v>
      </c>
      <c r="B54" s="485"/>
      <c r="C54" s="490"/>
      <c r="D54" s="521"/>
      <c r="E54" s="218">
        <f>DATE(YEAR(E53),MONTH(E53)+3,DAY(E53)-1)</f>
        <v>45455</v>
      </c>
      <c r="F54" s="212">
        <f t="shared" si="29"/>
        <v>12</v>
      </c>
      <c r="G54" s="213">
        <f t="shared" si="30"/>
        <v>6</v>
      </c>
      <c r="H54" s="212">
        <f t="shared" si="31"/>
        <v>2024</v>
      </c>
      <c r="I54" s="219">
        <f>MAX(I55:I58)</f>
        <v>12</v>
      </c>
      <c r="J54" s="220">
        <f>DATE(YEAR(J53)+1,MONTH(J53),DAY(J53))</f>
        <v>45638</v>
      </c>
      <c r="K54" s="501" t="str">
        <f t="shared" si="19"/>
        <v>+Inflat.-P</v>
      </c>
      <c r="L54" s="508">
        <f>IF(M49="Stufe A",IF(AND(L50="Auswahl treffen",D53&gt;=0,D53&lt;=1000),J49,IF(AND(L50="Vermögend und ambulant",D53&gt;8,D53&lt;=1000),130,IF(AND(L50="Vermögend und ambulant",D53&gt;4,D53&lt;=8),158,IF(AND(L50="Vermögend und ambulant",D53&gt;2,D53&lt;=4),192,IF(AND(L50="Vermögend und ambulant",D53&gt;1,D53&lt;=2),208,IF(AND(L50="Vermögend und ambulant",D53&gt;0,D53&lt;=1),298,IF(AND(L50="Vermögend und stationär",D53&gt;8,D53&lt;=1000),78,IF(AND(L50="Vermögend und stationär",D53&gt;4,D53&lt;=8),91,IF(AND(L50="Vermögend und stationär",D53&gt;2,D53&lt;=4),140,IF(AND(L50="Vermögend und stationär",D53&gt;1,D53&lt;=2),158,IF(AND(L50="Vermögend und stationär",D53&gt;0,D53&lt;=1),200,IF(AND(L50="Mittellos und ambulant",D53&gt;8,D53&lt;=1000),105,IF(AND(L50="Mittellos und ambulant",D53&gt;4,D53&lt;=8),122,IF(AND(L50="Mittellos und ambulant",D53&gt;2,D53&lt;=4),151,IF(AND(L50="Mittellos und ambulant",D53&gt;1,D53&lt;=2),170,IF(AND(L50="Mittellos und ambulant",D53&gt;0,D53&lt;=1),208,IF(AND(L50="Mittellos und stationär",D53&gt;8,D53&lt;=1000),62,IF(AND(L50="Mittellos und stationär",D53&gt;4,D53&lt;=8),87,IF(AND(L50="Mittellos und stationär",D53&gt;2,D53&lt;=4),124,IF(AND(L50="Mittellos und stationär",D53&gt;1,D53&lt;=2),129,IF(AND(L50="Mittellos und stationär",D53&gt;0,D53&lt;=1),194,""))))))))))))))))))))),IF(M49="Stufe B",IF(AND(L50="Auswahl treffen",D53&gt;=0,D53&lt;=1000),J49,IF(AND(L50="Vermögend und ambulant",D53&gt;8,D53&lt;=1000),161,IF(AND(L50="Vermögend und ambulant",D53&gt;4,D53&lt;=8),196,IF(AND(L50="Vermögend und ambulant",D53&gt;2,D53&lt;=4),238,IF(AND(L50="Vermögend und ambulant",D53&gt;1,D53&lt;=2),258,IF(AND(L50="Vermögend und ambulant",D53&gt;0,D53&lt;=1),370,IF(AND(L50="Vermögend und stationär",D53&gt;8,D53&lt;=1000),96,IF(AND(L50="Vermögend und stationär",D53&gt;4,D53&lt;=8),113,IF(AND(L50="Vermögend und stationär",D53&gt;2,D53&lt;=4),174,IF(AND(L50="Vermögend und stationär",D53&gt;1,D53&lt;=2),196,IF(AND(L50="Vermögend und stationär",D53&gt;0,D53&lt;=1),249,IF(AND(L50="Mittellos und ambulant",D53&gt;8,D53&lt;=1000),130,IF(AND(L50="Mittellos und ambulant",D53&gt;4,D53&lt;=8),151,IF(AND(L50="Mittellos und ambulant",D53&gt;2,D53&lt;=4),188,IF(AND(L50="Mittellos und ambulant",D53&gt;1,D53&lt;=2),211,IF(AND(L50="Mittellos und ambulant",D53&gt;0,D53&lt;=1),258,IF(AND(L50="Mittellos und stationär",D53&gt;8,D53&lt;=1000),78,IF(AND(L50="Mittellos und stationär",D53&gt;4,D53&lt;=8),107,IF(AND(L50="Mittellos und stationär",D53&gt;2,D53&lt;=4),154,IF(AND(L50="Mittellos und stationär",D53&gt;1,D53&lt;=2),158,IF(AND(L50="Mittellos und stationär",D53&gt;0,D53&lt;=1),241,""))))))))))))))))))))),IF(M49="Stufe C",IF(AND(L50="Auswahl treffen",D53&gt;=0,D53&lt;=1000),J49,IF(AND(L50="Vermögend und ambulant",D53&gt;8,D53&lt;=1000),211,IF(AND(L50="Vermögend und ambulant",D53&gt;4,D53&lt;=8),257,IF(AND(L50="Vermögend und ambulant",D53&gt;2,D53&lt;=4),312,IF(AND(L50="Vermögend und ambulant",D53&gt;1,D53&lt;=2),339,IF(AND(L50="Vermögend und ambulant",D53&gt;0,D53&lt;=1),486,IF(AND(L50="Vermögend und stationär",D53&gt;8,D53&lt;=1000),127,IF(AND(L50="Vermögend und stationär",D53&gt;4,D53&lt;=8),149,IF(AND(L50="Vermögend und stationär",D53&gt;2,D53&lt;=4),229,IF(AND(L50="Vermögend und stationär",D53&gt;1,D53&lt;=2),257,IF(AND(L50="Vermögend und stationär",D53&gt;0,D53&lt;=1),327,IF(AND(L50="Mittellos und ambulant",D53&gt;8,D53&lt;=1000),171,IF(AND(L50="Mittellos und ambulant",D53&gt;4,D53&lt;=8),198,IF(AND(L50="Mittellos und ambulant",D53&gt;2,D53&lt;=4),246,IF(AND(L50="Mittellos und ambulant",D53&gt;1,D53&lt;=2),277,IF(AND(L50="Mittellos und ambulant",D53&gt;0,D53&lt;=1),339,IF(AND(L50="Mittellos und stationär",D53&gt;8,D53&lt;=1000),102,IF(AND(L50="Mittellos und stationär",D53&gt;4,D53&lt;=8),141,IF(AND(L50="Mittellos und stationär",D53&gt;2,D53&lt;=4),202,IF(AND(L50="Mittellos und stationär",D53&gt;1,D53&lt;=2),208,IF(AND(L50="Mittellos und stationär",D53&gt;0,D53&lt;=1),317,""))))))))))))))))))))),"")))*3+(J49*90)</f>
        <v>381</v>
      </c>
      <c r="M54" s="507" t="str">
        <f>CONCATENATE(K54, K53)</f>
        <v>+Inflat.-P</v>
      </c>
      <c r="N54" s="216"/>
      <c r="O54" s="188" t="s">
        <v>118</v>
      </c>
      <c r="P54" s="188"/>
      <c r="Q54" s="221"/>
      <c r="R54" s="199"/>
      <c r="S54" s="190"/>
      <c r="T54" s="190"/>
      <c r="U54" s="191"/>
      <c r="V54" s="192"/>
      <c r="W54" s="222" t="s">
        <v>118</v>
      </c>
      <c r="X54" s="222" t="s">
        <v>117</v>
      </c>
      <c r="Y54" s="191" t="s">
        <v>26</v>
      </c>
      <c r="Z54" s="192"/>
      <c r="AA54" s="190"/>
      <c r="AB54" s="190"/>
      <c r="AC54" s="191"/>
      <c r="AD54" s="192"/>
      <c r="AE54" s="190"/>
      <c r="AF54" s="190"/>
      <c r="AG54" s="191"/>
      <c r="AH54" s="193"/>
      <c r="AI54" s="190"/>
      <c r="AJ54" s="190"/>
      <c r="AK54" s="374"/>
      <c r="AL54" s="348" t="s">
        <v>149</v>
      </c>
      <c r="AM54" s="354"/>
      <c r="AN54" s="354">
        <f>IF(SUM(O50:O58)=SUM(W50:W58), 0, SUM(O50:O58)-SUM(W50:W58))</f>
        <v>0</v>
      </c>
      <c r="AO54" s="354"/>
      <c r="AP54" s="354"/>
      <c r="AQ54" s="350">
        <f>AM54+AN54+AO54+AP54</f>
        <v>0</v>
      </c>
      <c r="AR54" s="769"/>
      <c r="AS54" s="769"/>
      <c r="AT54" s="769"/>
      <c r="AW54" s="335"/>
      <c r="AX54" s="335"/>
      <c r="AY54" s="778"/>
      <c r="AZ54" s="335"/>
      <c r="BA54" s="335"/>
      <c r="BB54" s="335"/>
      <c r="BC54" s="335"/>
      <c r="BD54" s="1299"/>
      <c r="BE54" s="335"/>
      <c r="BF54" s="335"/>
      <c r="BG54" s="778"/>
      <c r="BH54" s="335"/>
      <c r="BI54" s="335"/>
      <c r="BJ54" s="335"/>
      <c r="BK54" s="335"/>
      <c r="BM54" s="334"/>
      <c r="BP54" s="335"/>
      <c r="BQ54" s="335"/>
      <c r="BR54" s="335"/>
      <c r="BS54" s="335"/>
      <c r="BT54" s="335"/>
      <c r="BU54" s="335"/>
      <c r="BV54" s="335"/>
      <c r="BW54" s="335"/>
      <c r="BX54" s="335"/>
      <c r="BY54" s="335"/>
      <c r="BZ54" s="335"/>
      <c r="CA54" s="335"/>
      <c r="CB54" s="335"/>
      <c r="CC54" s="335"/>
      <c r="CD54" s="335"/>
      <c r="CE54" s="335"/>
      <c r="CF54" s="335"/>
      <c r="CG54" s="335"/>
      <c r="CH54" s="335"/>
      <c r="CI54" s="335"/>
    </row>
    <row r="55" spans="1:87" ht="22.25" customHeight="1">
      <c r="A55" s="181">
        <f t="shared" si="3"/>
        <v>45292</v>
      </c>
      <c r="B55" s="484">
        <f>YEAR($A56)-1</f>
        <v>2023</v>
      </c>
      <c r="C55" s="489" t="s">
        <v>158</v>
      </c>
      <c r="D55" s="520">
        <f>D53+1</f>
        <v>11</v>
      </c>
      <c r="E55" s="194">
        <f>DATE(YEAR(E54),MONTH(E54),DAY(E54)+1)</f>
        <v>45456</v>
      </c>
      <c r="F55" s="195">
        <f t="shared" si="29"/>
        <v>13</v>
      </c>
      <c r="G55" s="196">
        <f t="shared" si="30"/>
        <v>6</v>
      </c>
      <c r="H55" s="195">
        <f t="shared" si="31"/>
        <v>2024</v>
      </c>
      <c r="I55" s="223" t="str">
        <f>IF(J57&lt;13,J57,"")</f>
        <v/>
      </c>
      <c r="J55" s="224">
        <f>G50</f>
        <v>12</v>
      </c>
      <c r="K55" s="506" t="str">
        <f t="shared" si="19"/>
        <v/>
      </c>
      <c r="L55" s="471"/>
      <c r="M55" s="473" t="str">
        <f ca="1">SUM(J50-E56)&amp;" Tage"</f>
        <v>-72 Tage</v>
      </c>
      <c r="N55" s="200"/>
      <c r="O55" s="201"/>
      <c r="P55" s="201"/>
      <c r="Q55" s="202"/>
      <c r="R55" s="189"/>
      <c r="S55" s="203"/>
      <c r="T55" s="203"/>
      <c r="U55" s="204"/>
      <c r="V55" s="192"/>
      <c r="W55" s="203"/>
      <c r="X55" s="203"/>
      <c r="Y55" s="204"/>
      <c r="Z55" s="192"/>
      <c r="AA55" s="203"/>
      <c r="AB55" s="203"/>
      <c r="AC55" s="204"/>
      <c r="AD55" s="192"/>
      <c r="AE55" s="203"/>
      <c r="AF55" s="203"/>
      <c r="AG55" s="204"/>
      <c r="AH55" s="193"/>
      <c r="AI55" s="203"/>
      <c r="AJ55" s="203"/>
      <c r="AK55" s="375"/>
      <c r="AL55" s="348"/>
      <c r="AM55" s="354"/>
      <c r="AN55" s="354"/>
      <c r="AO55" s="354"/>
      <c r="AP55" s="354"/>
      <c r="AQ55" s="350"/>
      <c r="AR55" s="769"/>
      <c r="AS55" s="769"/>
      <c r="AT55" s="769"/>
      <c r="AW55" s="335"/>
      <c r="AX55" s="335"/>
      <c r="AY55" s="778"/>
      <c r="AZ55" s="335"/>
      <c r="BA55" s="335"/>
      <c r="BB55" s="335"/>
      <c r="BC55" s="335"/>
      <c r="BD55" s="1299"/>
      <c r="BE55" s="335"/>
      <c r="BF55" s="335"/>
      <c r="BG55" s="778"/>
      <c r="BH55" s="335"/>
      <c r="BI55" s="335"/>
      <c r="BJ55" s="335"/>
      <c r="BK55" s="335"/>
      <c r="BM55" s="334"/>
      <c r="BP55" s="335"/>
      <c r="BQ55" s="335"/>
      <c r="BR55" s="335"/>
      <c r="BS55" s="335"/>
      <c r="BT55" s="335"/>
      <c r="BU55" s="335"/>
      <c r="BV55" s="335"/>
      <c r="BW55" s="335"/>
      <c r="BX55" s="335"/>
      <c r="BY55" s="335"/>
      <c r="BZ55" s="335"/>
      <c r="CA55" s="335"/>
      <c r="CB55" s="335"/>
      <c r="CC55" s="335"/>
      <c r="CD55" s="335"/>
      <c r="CE55" s="335"/>
      <c r="CF55" s="335"/>
      <c r="CG55" s="335"/>
      <c r="CH55" s="335"/>
      <c r="CI55" s="335"/>
    </row>
    <row r="56" spans="1:87" ht="22.25" customHeight="1">
      <c r="A56" s="181">
        <f t="shared" si="3"/>
        <v>45292</v>
      </c>
      <c r="B56" s="485"/>
      <c r="C56" s="490"/>
      <c r="D56" s="521"/>
      <c r="E56" s="194">
        <f>DATE(YEAR(E55),MONTH(E55)+3,DAY(E55)-1)</f>
        <v>45547</v>
      </c>
      <c r="F56" s="195">
        <f t="shared" si="29"/>
        <v>12</v>
      </c>
      <c r="G56" s="196">
        <f t="shared" si="30"/>
        <v>9</v>
      </c>
      <c r="H56" s="195">
        <f t="shared" si="31"/>
        <v>2024</v>
      </c>
      <c r="I56" s="225" t="str">
        <f>IF(J58&lt;13,J58,"")</f>
        <v/>
      </c>
      <c r="J56" s="224">
        <f>J55+3</f>
        <v>15</v>
      </c>
      <c r="K56" s="501" t="str">
        <f t="shared" si="19"/>
        <v>+Inflat.-P</v>
      </c>
      <c r="L56" s="511">
        <f>IF(M49="Stufe A",IF(AND(L50="Auswahl treffen",D55&gt;=0,D55&lt;=1000),J49,IF(AND(L50="Vermögend und ambulant",D55&gt;8,D55&lt;=1000),130,IF(AND(L50="Vermögend und ambulant",D55&gt;4,D55&lt;=8),158,IF(AND(L50="Vermögend und ambulant",D55&gt;2,D55&lt;=4),192,IF(AND(L50="Vermögend und ambulant",D55&gt;1,D55&lt;=2),208,IF(AND(L50="Vermögend und ambulant",D55&gt;0,D55&lt;=1),298,IF(AND(L50="Vermögend und stationär",D55&gt;8,D55&lt;=1000),78,IF(AND(L50="Vermögend und stationär",D55&gt;4,D55&lt;=8),91,IF(AND(L50="Vermögend und stationär",D55&gt;2,D55&lt;=4),140,IF(AND(L50="Vermögend und stationär",D55&gt;1,D55&lt;=2),158,IF(AND(L50="Vermögend und stationär",D55&gt;0,D55&lt;=1),200,IF(AND(L50="Mittellos und ambulant",D55&gt;8,D55&lt;=1000),105,IF(AND(L50="Mittellos und ambulant",D55&gt;4,D55&lt;=8),122,IF(AND(L50="Mittellos und ambulant",D55&gt;2,D55&lt;=4),151,IF(AND(L50="Mittellos und ambulant",D55&gt;1,D55&lt;=2),170,IF(AND(L50="Mittellos und ambulant",D55&gt;0,D55&lt;=1),208,IF(AND(L50="Mittellos und stationär",D55&gt;8,D55&lt;=1000),62,IF(AND(L50="Mittellos und stationär",D55&gt;4,D55&lt;=8),87,IF(AND(L50="Mittellos und stationär",D55&gt;2,D55&lt;=4),124,IF(AND(L50="Mittellos und stationär",D55&gt;1,D55&lt;=2),129,IF(AND(L50="Mittellos und stationär",D55&gt;0,D55&lt;=1),194,""))))))))))))))))))))),IF(M49="Stufe B",IF(AND(L50="Auswahl treffen",D55&gt;=0,D55&lt;=1000),J49,IF(AND(L50="Vermögend und ambulant",D55&gt;8,D55&lt;=1000),161,IF(AND(L50="Vermögend und ambulant",D55&gt;4,D55&lt;=8),196,IF(AND(L50="Vermögend und ambulant",D55&gt;2,D55&lt;=4),238,IF(AND(L50="Vermögend und ambulant",D55&gt;1,D55&lt;=2),258,IF(AND(L50="Vermögend und ambulant",D55&gt;0,D55&lt;=1),370,IF(AND(L50="Vermögend und stationär",D55&gt;8,D55&lt;=1000),96,IF(AND(L50="Vermögend und stationär",D55&gt;4,D55&lt;=8),113,IF(AND(L50="Vermögend und stationär",D55&gt;2,D55&lt;=4),174,IF(AND(L50="Vermögend und stationär",D55&gt;1,D55&lt;=2),196,IF(AND(L50="Vermögend und stationär",D55&gt;0,D55&lt;=1),249,IF(AND(L50="Mittellos und ambulant",D55&gt;8,D55&lt;=1000),130,IF(AND(L50="Mittellos und ambulant",D55&gt;4,D55&lt;=8),151,IF(AND(L50="Mittellos und ambulant",D55&gt;2,D55&lt;=4),188,IF(AND(L50="Mittellos und ambulant",D55&gt;1,D55&lt;=2),211,IF(AND(L50="Mittellos und ambulant",D55&gt;0,D55&lt;=1),258,IF(AND(L50="Mittellos und stationär",D55&gt;8,D55&lt;=1000),78,IF(AND(L50="Mittellos und stationär",D55&gt;4,D55&lt;=8),107,IF(AND(L50="Mittellos und stationär",D55&gt;2,D55&lt;=4),154,IF(AND(L50="Mittellos und stationär",D55&gt;1,D55&lt;=2),158,IF(AND(L50="Mittellos und stationär",D55&gt;0,D55&lt;=1),241,""))))))))))))))))))))),IF(M49="Stufe C",IF(AND(L50="Auswahl treffen",D55&gt;=0,D55&lt;=1000),J49,IF(AND(L50="Vermögend und ambulant",D55&gt;8,D55&lt;=1000),211,IF(AND(L50="Vermögend und ambulant",D55&gt;4,D55&lt;=8),257,IF(AND(L50="Vermögend und ambulant",D55&gt;2,D55&lt;=4),312,IF(AND(L50="Vermögend und ambulant",D55&gt;1,D55&lt;=2),339,IF(AND(L50="Vermögend und ambulant",D55&gt;0,D55&lt;=1),486,IF(AND(L50="Vermögend und stationär",D55&gt;8,D55&lt;=1000),127,IF(AND(L50="Vermögend und stationär",D55&gt;4,D55&lt;=8),149,IF(AND(L50="Vermögend und stationär",D55&gt;2,D55&lt;=4),229,IF(AND(L50="Vermögend und stationär",D55&gt;1,D55&lt;=2),257,IF(AND(L50="Vermögend und stationär",D55&gt;0,D55&lt;=1),327,IF(AND(L50="Mittellos und ambulant",D55&gt;8,D55&lt;=1000),171,IF(AND(L50="Mittellos und ambulant",D55&gt;4,D55&lt;=8),198,IF(AND(L50="Mittellos und ambulant",D55&gt;2,D55&lt;=4),246,IF(AND(L50="Mittellos und ambulant",D55&gt;1,D55&lt;=2),277,IF(AND(L50="Mittellos und ambulant",D55&gt;0,D55&lt;=1),339,IF(AND(L50="Mittellos und stationär",D55&gt;8,D55&lt;=1000),102,IF(AND(L50="Mittellos und stationär",D55&gt;4,D55&lt;=8),141,IF(AND(L50="Mittellos und stationär",D55&gt;2,D55&lt;=4),202,IF(AND(L50="Mittellos und stationär",D55&gt;1,D55&lt;=2),208,IF(AND(L50="Mittellos und stationär",D55&gt;0,D55&lt;=1),317,""))))))))))))))))))))),"")))*3+(J49*90)</f>
        <v>381</v>
      </c>
      <c r="M56" s="507" t="str">
        <f>CONCATENATE(K56, K55)</f>
        <v>+Inflat.-P</v>
      </c>
      <c r="N56" s="206"/>
      <c r="O56" s="207"/>
      <c r="P56" s="206" t="s">
        <v>118</v>
      </c>
      <c r="Q56" s="226"/>
      <c r="R56" s="189"/>
      <c r="S56" s="203"/>
      <c r="T56" s="203"/>
      <c r="U56" s="204"/>
      <c r="V56" s="192"/>
      <c r="W56" s="203"/>
      <c r="X56" s="203"/>
      <c r="Y56" s="204"/>
      <c r="Z56" s="192"/>
      <c r="AA56" s="209" t="s">
        <v>118</v>
      </c>
      <c r="AB56" s="209" t="s">
        <v>117</v>
      </c>
      <c r="AC56" s="204" t="s">
        <v>26</v>
      </c>
      <c r="AD56" s="192"/>
      <c r="AE56" s="203"/>
      <c r="AF56" s="203"/>
      <c r="AG56" s="204"/>
      <c r="AH56" s="193"/>
      <c r="AI56" s="203"/>
      <c r="AJ56" s="203"/>
      <c r="AK56" s="375"/>
      <c r="AL56" s="348" t="s">
        <v>150</v>
      </c>
      <c r="AM56" s="354"/>
      <c r="AN56" s="354"/>
      <c r="AO56" s="354">
        <f>IF(SUM(P50:P58)=SUM(AA50:AA58), 0, SUM(P50:P58)-SUM(AA50:AA58))</f>
        <v>0</v>
      </c>
      <c r="AP56" s="354"/>
      <c r="AQ56" s="350">
        <f>AM56+AN56+AO56+AP56</f>
        <v>0</v>
      </c>
      <c r="AR56" s="769"/>
      <c r="AS56" s="769"/>
      <c r="AT56" s="769"/>
      <c r="AW56" s="335"/>
      <c r="AX56" s="335"/>
      <c r="AY56" s="778"/>
      <c r="AZ56" s="335"/>
      <c r="BA56" s="335"/>
      <c r="BB56" s="335"/>
      <c r="BC56" s="335"/>
      <c r="BD56" s="1299"/>
      <c r="BE56" s="335"/>
      <c r="BF56" s="335"/>
      <c r="BG56" s="778"/>
      <c r="BH56" s="335"/>
      <c r="BI56" s="335"/>
      <c r="BJ56" s="335"/>
      <c r="BK56" s="335"/>
      <c r="BM56" s="334"/>
      <c r="BP56" s="335"/>
      <c r="BQ56" s="335"/>
      <c r="BR56" s="335"/>
      <c r="BS56" s="335"/>
      <c r="BT56" s="335"/>
      <c r="BU56" s="335"/>
      <c r="BV56" s="335"/>
      <c r="BW56" s="335"/>
      <c r="BX56" s="335"/>
      <c r="BY56" s="335"/>
      <c r="BZ56" s="335"/>
      <c r="CA56" s="335"/>
      <c r="CB56" s="335"/>
      <c r="CC56" s="335"/>
      <c r="CD56" s="335"/>
      <c r="CE56" s="335"/>
      <c r="CF56" s="335"/>
      <c r="CG56" s="335"/>
      <c r="CH56" s="335"/>
      <c r="CI56" s="335"/>
    </row>
    <row r="57" spans="1:87" ht="22.25" customHeight="1">
      <c r="A57" s="181">
        <f t="shared" si="3"/>
        <v>45292</v>
      </c>
      <c r="B57" s="486"/>
      <c r="C57" s="489" t="s">
        <v>158</v>
      </c>
      <c r="D57" s="522">
        <f>D55+1</f>
        <v>12</v>
      </c>
      <c r="E57" s="211">
        <f>DATE(YEAR(E56),MONTH(E56),DAY(E56)+1)</f>
        <v>45548</v>
      </c>
      <c r="F57" s="227">
        <f t="shared" si="29"/>
        <v>13</v>
      </c>
      <c r="G57" s="228">
        <f t="shared" si="30"/>
        <v>9</v>
      </c>
      <c r="H57" s="227">
        <f t="shared" si="31"/>
        <v>2024</v>
      </c>
      <c r="I57" s="229" t="str">
        <f>IF(J56&lt;13,J56,"")</f>
        <v/>
      </c>
      <c r="J57" s="230">
        <f>J58+3</f>
        <v>21</v>
      </c>
      <c r="K57" s="506" t="str">
        <f t="shared" si="19"/>
        <v/>
      </c>
      <c r="L57" s="471"/>
      <c r="M57" s="473" t="str">
        <f ca="1">SUM(J50-E58)&amp;" Tage"</f>
        <v>-163 Tage</v>
      </c>
      <c r="N57" s="216"/>
      <c r="O57" s="188"/>
      <c r="P57" s="188"/>
      <c r="Q57" s="217"/>
      <c r="R57" s="189"/>
      <c r="S57" s="190"/>
      <c r="T57" s="190"/>
      <c r="U57" s="191"/>
      <c r="V57" s="192"/>
      <c r="W57" s="190"/>
      <c r="X57" s="190"/>
      <c r="Y57" s="191"/>
      <c r="Z57" s="192"/>
      <c r="AA57" s="190"/>
      <c r="AB57" s="190"/>
      <c r="AC57" s="191"/>
      <c r="AD57" s="192"/>
      <c r="AE57" s="190"/>
      <c r="AF57" s="190"/>
      <c r="AG57" s="191"/>
      <c r="AH57" s="193"/>
      <c r="AI57" s="190"/>
      <c r="AJ57" s="190"/>
      <c r="AK57" s="374"/>
      <c r="AL57" s="348"/>
      <c r="AM57" s="354"/>
      <c r="AN57" s="354"/>
      <c r="AO57" s="354"/>
      <c r="AP57" s="354"/>
      <c r="AQ57" s="350"/>
      <c r="AR57" s="769"/>
      <c r="AS57" s="769"/>
      <c r="AT57" s="769"/>
      <c r="AW57" s="335"/>
      <c r="AX57" s="335"/>
      <c r="AY57" s="778"/>
      <c r="AZ57" s="335"/>
      <c r="BA57" s="335"/>
      <c r="BB57" s="335"/>
      <c r="BC57" s="335"/>
      <c r="BD57" s="1299"/>
      <c r="BE57" s="335"/>
      <c r="BF57" s="335"/>
      <c r="BG57" s="778"/>
      <c r="BH57" s="335"/>
      <c r="BI57" s="335"/>
      <c r="BJ57" s="335"/>
      <c r="BK57" s="335"/>
      <c r="BM57" s="334"/>
      <c r="BP57" s="335"/>
      <c r="BQ57" s="335"/>
      <c r="BR57" s="335"/>
      <c r="BS57" s="335"/>
      <c r="BT57" s="335"/>
      <c r="BU57" s="335"/>
      <c r="BV57" s="335"/>
      <c r="BW57" s="335"/>
      <c r="BX57" s="335"/>
      <c r="BY57" s="335"/>
      <c r="BZ57" s="335"/>
      <c r="CA57" s="335"/>
      <c r="CB57" s="335"/>
      <c r="CC57" s="335"/>
      <c r="CD57" s="335"/>
      <c r="CE57" s="335"/>
      <c r="CF57" s="335"/>
      <c r="CG57" s="335"/>
      <c r="CH57" s="335"/>
      <c r="CI57" s="335"/>
    </row>
    <row r="58" spans="1:87" ht="22.25" customHeight="1">
      <c r="A58" s="181">
        <f t="shared" si="3"/>
        <v>45292</v>
      </c>
      <c r="B58" s="485"/>
      <c r="C58" s="490"/>
      <c r="D58" s="521"/>
      <c r="E58" s="218">
        <f>DATE(YEAR(E57),MONTH(E57)+3,DAY(E57)-1)</f>
        <v>45638</v>
      </c>
      <c r="F58" s="227">
        <f t="shared" si="29"/>
        <v>12</v>
      </c>
      <c r="G58" s="228">
        <f t="shared" si="30"/>
        <v>12</v>
      </c>
      <c r="H58" s="227">
        <f t="shared" si="31"/>
        <v>2024</v>
      </c>
      <c r="I58" s="231">
        <f>IF(J55&lt;13,J55,"")</f>
        <v>12</v>
      </c>
      <c r="J58" s="230">
        <f>J56+3</f>
        <v>18</v>
      </c>
      <c r="K58" s="501" t="str">
        <f t="shared" si="19"/>
        <v>+Inflat.-P</v>
      </c>
      <c r="L58" s="508">
        <f>IF(M49="Stufe A",IF(AND(L50="Auswahl treffen",D57&gt;=0,D57&lt;=1000),J49,IF(AND(L50="Vermögend und ambulant",D57&gt;8,D57&lt;=1000),130,IF(AND(L50="Vermögend und ambulant",D57&gt;4,D57&lt;=8),158,IF(AND(L50="Vermögend und ambulant",D57&gt;2,D57&lt;=4),192,IF(AND(L50="Vermögend und ambulant",D57&gt;1,D57&lt;=2),208,IF(AND(L50="Vermögend und ambulant",D57&gt;0,D57&lt;=1),298,IF(AND(L50="Vermögend und stationär",D57&gt;8,D57&lt;=1000),78,IF(AND(L50="Vermögend und stationär",D57&gt;4,D57&lt;=8),91,IF(AND(L50="Vermögend und stationär",D57&gt;2,D57&lt;=4),140,IF(AND(L50="Vermögend und stationär",D57&gt;1,D57&lt;=2),158,IF(AND(L50="Vermögend und stationär",D57&gt;0,D57&lt;=1),200,IF(AND(L50="Mittellos und ambulant",D57&gt;8,D57&lt;=1000),105,IF(AND(L50="Mittellos und ambulant",D57&gt;4,D57&lt;=8),122,IF(AND(L50="Mittellos und ambulant",D57&gt;2,D57&lt;=4),151,IF(AND(L50="Mittellos und ambulant",D57&gt;1,D57&lt;=2),170,IF(AND(L50="Mittellos und ambulant",D57&gt;0,D57&lt;=1),208,IF(AND(L50="Mittellos und stationär",D57&gt;8,D57&lt;=1000),62,IF(AND(L50="Mittellos und stationär",D57&gt;4,D57&lt;=8),87,IF(AND(L50="Mittellos und stationär",D57&gt;2,D57&lt;=4),124,IF(AND(L50="Mittellos und stationär",D57&gt;1,D57&lt;=2),129,IF(AND(L50="Mittellos und stationär",D57&gt;0,D57&lt;=1),194,""))))))))))))))))))))),IF(M49="Stufe B",IF(AND(L50="Auswahl treffen",D57&gt;=0,D57&lt;=1000),J49,IF(AND(L50="Vermögend und ambulant",D57&gt;8,D57&lt;=1000),161,IF(AND(L50="Vermögend und ambulant",D57&gt;4,D57&lt;=8),196,IF(AND(L50="Vermögend und ambulant",D57&gt;2,D57&lt;=4),238,IF(AND(L50="Vermögend und ambulant",D57&gt;1,D57&lt;=2),258,IF(AND(L50="Vermögend und ambulant",D57&gt;0,D57&lt;=1),370,IF(AND(L50="Vermögend und stationär",D57&gt;8,D57&lt;=1000),96,IF(AND(L50="Vermögend und stationär",D57&gt;4,D57&lt;=8),113,IF(AND(L50="Vermögend und stationär",D57&gt;2,D57&lt;=4),174,IF(AND(L50="Vermögend und stationär",D57&gt;1,D57&lt;=2),196,IF(AND(L50="Vermögend und stationär",D57&gt;0,D57&lt;=1),249,IF(AND(L50="Mittellos und ambulant",D57&gt;8,D57&lt;=1000),130,IF(AND(L50="Mittellos und ambulant",D57&gt;4,D57&lt;=8),151,IF(AND(L50="Mittellos und ambulant",D57&gt;2,D57&lt;=4),188,IF(AND(L50="Mittellos und ambulant",D57&gt;1,D57&lt;=2),211,IF(AND(L50="Mittellos und ambulant",D57&gt;0,D57&lt;=1),258,IF(AND(L50="Mittellos und stationär",D57&gt;8,D57&lt;=1000),78,IF(AND(L50="Mittellos und stationär",D57&gt;4,D57&lt;=8),107,IF(AND(L50="Mittellos und stationär",D57&gt;2,D57&lt;=4),154,IF(AND(L50="Mittellos und stationär",D57&gt;1,D57&lt;=2),158,IF(AND(L50="Mittellos und stationär",D57&gt;0,D57&lt;=1),241,""))))))))))))))))))))),IF(M49="Stufe C",IF(AND(L50="Auswahl treffen",D57&gt;=0,D57&lt;=1000),J49,IF(AND(L50="Vermögend und ambulant",D57&gt;8,D57&lt;=1000),211,IF(AND(L50="Vermögend und ambulant",D57&gt;4,D57&lt;=8),257,IF(AND(L50="Vermögend und ambulant",D57&gt;2,D57&lt;=4),312,IF(AND(L50="Vermögend und ambulant",D57&gt;1,D57&lt;=2),339,IF(AND(L50="Vermögend und ambulant",D57&gt;0,D57&lt;=1),486,IF(AND(L50="Vermögend und stationär",D57&gt;8,D57&lt;=1000),127,IF(AND(L50="Vermögend und stationär",D57&gt;4,D57&lt;=8),149,IF(AND(L50="Vermögend und stationär",D57&gt;2,D57&lt;=4),229,IF(AND(L50="Vermögend und stationär",D57&gt;1,D57&lt;=2),257,IF(AND(L50="Vermögend und stationär",D57&gt;0,D57&lt;=1),327,IF(AND(L50="Mittellos und ambulant",D57&gt;8,D57&lt;=1000),171,IF(AND(L50="Mittellos und ambulant",D57&gt;4,D57&lt;=8),198,IF(AND(L50="Mittellos und ambulant",D57&gt;2,D57&lt;=4),246,IF(AND(L50="Mittellos und ambulant",D57&gt;1,D57&lt;=2),277,IF(AND(L50="Mittellos und ambulant",D57&gt;0,D57&lt;=1),339,IF(AND(L50="Mittellos und stationär",D57&gt;8,D57&lt;=1000),102,IF(AND(L50="Mittellos und stationär",D57&gt;4,D57&lt;=8),141,IF(AND(L50="Mittellos und stationär",D57&gt;2,D57&lt;=4),202,IF(AND(L50="Mittellos und stationär",D57&gt;1,D57&lt;=2),208,IF(AND(L50="Mittellos und stationär",D57&gt;0,D57&lt;=1),317,""))))))))))))))))))))),"")))*3+(J49*90)</f>
        <v>381</v>
      </c>
      <c r="M58" s="507" t="str">
        <f>CONCATENATE(K58, K57)</f>
        <v>+Inflat.-P</v>
      </c>
      <c r="N58" s="216"/>
      <c r="O58" s="188"/>
      <c r="P58" s="188"/>
      <c r="Q58" s="217" t="s">
        <v>118</v>
      </c>
      <c r="R58" s="189"/>
      <c r="S58" s="190"/>
      <c r="T58" s="190"/>
      <c r="U58" s="191"/>
      <c r="V58" s="192"/>
      <c r="W58" s="190"/>
      <c r="X58" s="190"/>
      <c r="Y58" s="191"/>
      <c r="Z58" s="192"/>
      <c r="AA58" s="190"/>
      <c r="AB58" s="190"/>
      <c r="AC58" s="191"/>
      <c r="AD58" s="192"/>
      <c r="AE58" s="190" t="s">
        <v>118</v>
      </c>
      <c r="AF58" s="190" t="s">
        <v>117</v>
      </c>
      <c r="AG58" s="191" t="s">
        <v>26</v>
      </c>
      <c r="AH58" s="193"/>
      <c r="AI58" s="190" t="s">
        <v>118</v>
      </c>
      <c r="AJ58" s="190" t="s">
        <v>117</v>
      </c>
      <c r="AK58" s="374" t="s">
        <v>26</v>
      </c>
      <c r="AL58" s="348" t="s">
        <v>151</v>
      </c>
      <c r="AM58" s="354"/>
      <c r="AN58" s="354"/>
      <c r="AO58" s="354"/>
      <c r="AP58" s="354">
        <f>IF(SUM(Q50:Q58)=SUM(AE50:AE58,AI50:AI58), 0, SUM(Q50:Q58)-SUM(AE50:AE58,AI50:AI58))</f>
        <v>0</v>
      </c>
      <c r="AQ58" s="350">
        <f>AM58+AN58+AO58+AP58</f>
        <v>0</v>
      </c>
      <c r="AR58" s="769"/>
      <c r="AS58" s="769"/>
      <c r="AT58" s="769"/>
      <c r="AW58" s="335"/>
      <c r="AX58" s="335"/>
      <c r="AY58" s="778"/>
      <c r="AZ58" s="335"/>
      <c r="BA58" s="335"/>
      <c r="BB58" s="335"/>
      <c r="BC58" s="335"/>
      <c r="BD58" s="1299"/>
      <c r="BE58" s="335"/>
      <c r="BF58" s="335"/>
      <c r="BG58" s="778"/>
      <c r="BH58" s="335"/>
      <c r="BI58" s="335"/>
      <c r="BJ58" s="335"/>
      <c r="BK58" s="335"/>
      <c r="BM58" s="334"/>
      <c r="BP58" s="335"/>
      <c r="BQ58" s="335"/>
      <c r="BR58" s="335"/>
      <c r="BS58" s="335"/>
      <c r="BT58" s="335"/>
      <c r="BU58" s="335"/>
      <c r="BV58" s="335"/>
      <c r="BW58" s="335"/>
      <c r="BX58" s="335"/>
      <c r="BY58" s="335"/>
      <c r="BZ58" s="335"/>
      <c r="CA58" s="335"/>
      <c r="CB58" s="335"/>
      <c r="CC58" s="335"/>
      <c r="CD58" s="335"/>
      <c r="CE58" s="335"/>
      <c r="CF58" s="335"/>
      <c r="CG58" s="335"/>
      <c r="CH58" s="335"/>
      <c r="CI58" s="335"/>
    </row>
    <row r="59" spans="1:87" ht="22" customHeight="1">
      <c r="A59" s="181">
        <f t="shared" si="3"/>
        <v>45292</v>
      </c>
      <c r="B59" s="232" t="s">
        <v>74</v>
      </c>
      <c r="C59" s="233" t="s">
        <v>75</v>
      </c>
      <c r="D59" s="234" t="s">
        <v>76</v>
      </c>
      <c r="E59" s="235" t="s">
        <v>11</v>
      </c>
      <c r="F59" s="235" t="s">
        <v>4</v>
      </c>
      <c r="G59" s="235" t="s">
        <v>5</v>
      </c>
      <c r="H59" s="235" t="s">
        <v>6</v>
      </c>
      <c r="I59" s="236" t="s">
        <v>77</v>
      </c>
      <c r="J59" s="306"/>
      <c r="K59" s="506" t="str">
        <f t="shared" si="19"/>
        <v/>
      </c>
      <c r="L59" s="306" t="str">
        <f>IFERROR(VLOOKUP(B40,'Aktuelle Einnahmen'!A2:J104,10,0),"")</f>
        <v/>
      </c>
      <c r="M59" s="510" t="str">
        <f>M49</f>
        <v>Stufe C</v>
      </c>
      <c r="N59" s="237"/>
      <c r="O59" s="238"/>
      <c r="P59" s="238"/>
      <c r="Q59" s="239"/>
      <c r="R59" s="240"/>
      <c r="S59" s="241"/>
      <c r="T59" s="241"/>
      <c r="U59" s="242"/>
      <c r="V59" s="243"/>
      <c r="W59" s="241"/>
      <c r="X59" s="241"/>
      <c r="Y59" s="242"/>
      <c r="Z59" s="243"/>
      <c r="AA59" s="241"/>
      <c r="AB59" s="241"/>
      <c r="AC59" s="242"/>
      <c r="AD59" s="243"/>
      <c r="AE59" s="241"/>
      <c r="AF59" s="241"/>
      <c r="AG59" s="242"/>
      <c r="AH59" s="240"/>
      <c r="AI59" s="241"/>
      <c r="AJ59" s="241"/>
      <c r="AK59" s="377"/>
      <c r="AL59" s="347"/>
      <c r="AM59" s="353"/>
      <c r="AN59" s="353"/>
      <c r="AO59" s="353"/>
      <c r="AP59" s="353"/>
      <c r="AQ59" s="349"/>
      <c r="AR59" s="768"/>
      <c r="AS59" s="768"/>
      <c r="AT59" s="768"/>
      <c r="AW59" s="335"/>
      <c r="AX59" s="335"/>
      <c r="AY59" s="778"/>
      <c r="AZ59" s="335"/>
      <c r="BA59" s="335"/>
      <c r="BB59" s="335"/>
      <c r="BC59" s="335"/>
      <c r="BD59" s="1299"/>
      <c r="BE59" s="335"/>
      <c r="BF59" s="335"/>
      <c r="BG59" s="778"/>
      <c r="BH59" s="335"/>
      <c r="BI59" s="335"/>
      <c r="BJ59" s="335"/>
      <c r="BK59" s="335"/>
      <c r="BM59" s="334"/>
      <c r="BP59" s="335"/>
      <c r="BQ59" s="335"/>
      <c r="BR59" s="335"/>
      <c r="BS59" s="335"/>
      <c r="BT59" s="335"/>
      <c r="BU59" s="335"/>
      <c r="BV59" s="335"/>
      <c r="BW59" s="335"/>
      <c r="BX59" s="335"/>
      <c r="BY59" s="335"/>
      <c r="BZ59" s="335"/>
      <c r="CA59" s="335"/>
      <c r="CB59" s="335"/>
      <c r="CC59" s="335"/>
      <c r="CD59" s="335"/>
      <c r="CE59" s="335"/>
      <c r="CF59" s="335"/>
      <c r="CG59" s="335"/>
      <c r="CH59" s="335"/>
      <c r="CI59" s="335"/>
    </row>
    <row r="60" spans="1:87" ht="23" customHeight="1">
      <c r="A60" s="181">
        <f t="shared" si="3"/>
        <v>45292</v>
      </c>
      <c r="B60" s="182">
        <v>6</v>
      </c>
      <c r="C60" s="183" t="str">
        <f>IFERROR(VLOOKUP($B60,'Aktuelle Einnahmen'!A2:G104,3,0),"")</f>
        <v>Fischer</v>
      </c>
      <c r="D60" s="184" t="str">
        <f>IFERROR(VLOOKUP($B60,'Aktuelle Einnahmen'!A2:G104,2,0),"")</f>
        <v>Finn</v>
      </c>
      <c r="E60" s="185" t="str">
        <f>IFERROR(VLOOKUP($B60,'Aktuelle Einnahmen'!A2:G104,4,0),"")</f>
        <v xml:space="preserve">10 XVII 1145 / 18 F </v>
      </c>
      <c r="F60" s="94">
        <f>IFERROR(VLOOKUP($B60,'Aktuelle Einnahmen'!A2:G104,5,0),"")</f>
        <v>22</v>
      </c>
      <c r="G60" s="94">
        <f>IFERROR(VLOOKUP($B60,'Aktuelle Einnahmen'!A2:G104,6,0),"")</f>
        <v>12</v>
      </c>
      <c r="H60" s="94">
        <f>IFERROR(VLOOKUP($B60,'Aktuelle Einnahmen'!A2:G104,7,0),"")</f>
        <v>21</v>
      </c>
      <c r="I60" s="186">
        <f>DATE(H60,G60,F60)</f>
        <v>8027</v>
      </c>
      <c r="J60" s="472">
        <f ca="1">J50</f>
        <v>45475</v>
      </c>
      <c r="K60" s="501" t="str">
        <f t="shared" si="19"/>
        <v>+Inflat.-P</v>
      </c>
      <c r="L60" s="1262" t="str">
        <f>IFERROR(VLOOKUP(B60,'Aktuelle Einnahmen'!A2:I104,9,0),"")</f>
        <v>Vermögend und ambulant</v>
      </c>
      <c r="M60" s="1263"/>
      <c r="N60" s="261"/>
      <c r="O60" s="261"/>
      <c r="P60" s="261"/>
      <c r="Q60" s="261"/>
      <c r="R60" s="189"/>
      <c r="S60" s="190"/>
      <c r="T60" s="190"/>
      <c r="U60" s="191"/>
      <c r="V60" s="192"/>
      <c r="W60" s="190"/>
      <c r="X60" s="190"/>
      <c r="Y60" s="191"/>
      <c r="Z60" s="192"/>
      <c r="AA60" s="190"/>
      <c r="AB60" s="190"/>
      <c r="AC60" s="191"/>
      <c r="AD60" s="192"/>
      <c r="AE60" s="190"/>
      <c r="AF60" s="190"/>
      <c r="AG60" s="191"/>
      <c r="AH60" s="193"/>
      <c r="AI60" s="190"/>
      <c r="AJ60" s="190"/>
      <c r="AK60" s="374"/>
      <c r="AL60" s="348"/>
      <c r="AM60" s="354"/>
      <c r="AN60" s="354"/>
      <c r="AO60" s="354"/>
      <c r="AP60" s="354"/>
      <c r="AQ60" s="350"/>
      <c r="AR60" s="769"/>
      <c r="AS60" s="769"/>
      <c r="AT60" s="769"/>
      <c r="AW60" s="335"/>
      <c r="AX60" s="335"/>
      <c r="AY60" s="778"/>
      <c r="AZ60" s="335"/>
      <c r="BA60" s="335"/>
      <c r="BB60" s="335"/>
      <c r="BC60" s="335"/>
      <c r="BD60" s="1299"/>
      <c r="BE60" s="335"/>
      <c r="BF60" s="335"/>
      <c r="BG60" s="778"/>
      <c r="BH60" s="335"/>
      <c r="BI60" s="335"/>
      <c r="BJ60" s="335"/>
      <c r="BK60" s="335"/>
      <c r="BM60" s="334"/>
      <c r="BP60" s="335"/>
      <c r="BQ60" s="335"/>
      <c r="BR60" s="335"/>
      <c r="BS60" s="335"/>
      <c r="BT60" s="335"/>
      <c r="BU60" s="335"/>
      <c r="BV60" s="335"/>
      <c r="BW60" s="335"/>
      <c r="BX60" s="335"/>
      <c r="BY60" s="335"/>
      <c r="BZ60" s="335"/>
      <c r="CA60" s="335"/>
      <c r="CB60" s="335"/>
      <c r="CC60" s="335"/>
      <c r="CD60" s="335"/>
      <c r="CE60" s="335"/>
      <c r="CF60" s="335"/>
      <c r="CG60" s="335"/>
      <c r="CH60" s="335"/>
      <c r="CI60" s="335"/>
    </row>
    <row r="61" spans="1:87" ht="22.25" customHeight="1">
      <c r="A61" s="181">
        <f t="shared" si="3"/>
        <v>45292</v>
      </c>
      <c r="B61" s="484">
        <f>DAY(I60)</f>
        <v>22</v>
      </c>
      <c r="C61" s="489" t="s">
        <v>158</v>
      </c>
      <c r="D61" s="520">
        <f>(I61*4)+J61/3+1</f>
        <v>9</v>
      </c>
      <c r="E61" s="194">
        <f>J63+1</f>
        <v>45283</v>
      </c>
      <c r="F61" s="195">
        <f t="shared" ref="F61:F68" si="32">DAY(E61)</f>
        <v>23</v>
      </c>
      <c r="G61" s="196">
        <f t="shared" ref="G61:G68" si="33">MONTH(E61)</f>
        <v>12</v>
      </c>
      <c r="H61" s="195">
        <f t="shared" ref="H61:H68" si="34">YEAR(E61)</f>
        <v>2023</v>
      </c>
      <c r="I61" s="197">
        <f>H61-(H60+2000)</f>
        <v>2</v>
      </c>
      <c r="J61" s="198">
        <f>G61-G60</f>
        <v>0</v>
      </c>
      <c r="K61" s="506" t="str">
        <f>L59</f>
        <v/>
      </c>
      <c r="L61" s="469"/>
      <c r="M61" s="473" t="str">
        <f ca="1">SUM(J60-E62)&amp;" Tage"</f>
        <v>102 Tage</v>
      </c>
      <c r="N61" s="206"/>
      <c r="O61" s="201"/>
      <c r="P61" s="201"/>
      <c r="Q61" s="202"/>
      <c r="R61" s="189"/>
      <c r="S61" s="203"/>
      <c r="T61" s="203"/>
      <c r="U61" s="204"/>
      <c r="V61" s="192"/>
      <c r="W61" s="203"/>
      <c r="X61" s="203"/>
      <c r="Y61" s="204"/>
      <c r="Z61" s="192"/>
      <c r="AA61" s="203"/>
      <c r="AB61" s="203"/>
      <c r="AC61" s="204"/>
      <c r="AD61" s="192"/>
      <c r="AE61" s="203"/>
      <c r="AF61" s="203"/>
      <c r="AG61" s="204"/>
      <c r="AH61" s="193"/>
      <c r="AI61" s="203"/>
      <c r="AJ61" s="203"/>
      <c r="AK61" s="375"/>
      <c r="AL61" s="348"/>
      <c r="AM61" s="354"/>
      <c r="AN61" s="354"/>
      <c r="AO61" s="354"/>
      <c r="AP61" s="354"/>
      <c r="AQ61" s="350"/>
      <c r="AR61" s="769"/>
      <c r="AS61" s="769"/>
      <c r="AT61" s="769"/>
      <c r="AW61" s="335"/>
      <c r="AX61" s="335"/>
      <c r="AY61" s="778"/>
      <c r="AZ61" s="335"/>
      <c r="BA61" s="335"/>
      <c r="BB61" s="335"/>
      <c r="BC61" s="335"/>
      <c r="BD61" s="1299"/>
      <c r="BE61" s="335"/>
      <c r="BF61" s="335"/>
      <c r="BG61" s="778"/>
      <c r="BH61" s="335"/>
      <c r="BI61" s="335"/>
      <c r="BJ61" s="335"/>
      <c r="BK61" s="335"/>
      <c r="BM61" s="334"/>
      <c r="BP61" s="335"/>
      <c r="BQ61" s="335"/>
      <c r="BR61" s="335"/>
      <c r="BS61" s="335"/>
      <c r="BT61" s="335"/>
      <c r="BU61" s="335"/>
      <c r="BV61" s="335"/>
      <c r="BW61" s="335"/>
      <c r="BX61" s="335"/>
      <c r="BY61" s="335"/>
      <c r="BZ61" s="335"/>
      <c r="CA61" s="335"/>
      <c r="CB61" s="335"/>
      <c r="CC61" s="335"/>
      <c r="CD61" s="335"/>
      <c r="CE61" s="335"/>
      <c r="CF61" s="335"/>
      <c r="CG61" s="335"/>
      <c r="CH61" s="335"/>
      <c r="CI61" s="335"/>
    </row>
    <row r="62" spans="1:87" ht="22.25" customHeight="1">
      <c r="A62" s="181">
        <f t="shared" si="3"/>
        <v>45292</v>
      </c>
      <c r="B62" s="485"/>
      <c r="C62" s="490"/>
      <c r="D62" s="521"/>
      <c r="E62" s="194">
        <f>DATE(YEAR(E61),MONTH(E61)+3,DAY(E61)-1)</f>
        <v>45373</v>
      </c>
      <c r="F62" s="195">
        <f t="shared" si="32"/>
        <v>22</v>
      </c>
      <c r="G62" s="196">
        <f t="shared" si="33"/>
        <v>3</v>
      </c>
      <c r="H62" s="195">
        <f t="shared" si="34"/>
        <v>2024</v>
      </c>
      <c r="I62" s="244">
        <v>-1</v>
      </c>
      <c r="J62" s="198">
        <f>F61-F60</f>
        <v>1</v>
      </c>
      <c r="K62" s="506" t="str">
        <f t="shared" si="19"/>
        <v>+Inflat.-P</v>
      </c>
      <c r="L62" s="511">
        <f>IF(M59="Stufe A",IF(AND(L60="Auswahl treffen",D61&gt;=0,D61&lt;=1000),J59,IF(AND(L60="Vermögend und ambulant",D61&gt;8,D61&lt;=1000),130,IF(AND(L60="Vermögend und ambulant",D61&gt;4,D61&lt;=8),158,IF(AND(L60="Vermögend und ambulant",D61&gt;2,D61&lt;=4),192,IF(AND(L60="Vermögend und ambulant",D61&gt;1,D61&lt;=2),208,IF(AND(L60="Vermögend und ambulant",D61&gt;0,D61&lt;=1),298,IF(AND(L60="Vermögend und stationär",D61&gt;8,D61&lt;=1000),78,IF(AND(L60="Vermögend und stationär",D61&gt;4,D61&lt;=8),91,IF(AND(L60="Vermögend und stationär",D61&gt;2,D61&lt;=4),140,IF(AND(L60="Vermögend und stationär",D61&gt;1,D61&lt;=2),158,IF(AND(L60="Vermögend und stationär",D61&gt;0,D61&lt;=1),200,IF(AND(L60="Mittellos und ambulant",D61&gt;8,D61&lt;=1000),105,IF(AND(L60="Mittellos und ambulant",D61&gt;4,D61&lt;=8),122,IF(AND(L60="Mittellos und ambulant",D61&gt;2,D61&lt;=4),151,IF(AND(L60="Mittellos und ambulant",D61&gt;1,D61&lt;=2),170,IF(AND(L60="Mittellos und ambulant",D61&gt;0,D61&lt;=1),208,IF(AND(L60="Mittellos und stationär",D61&gt;8,D61&lt;=1000),62,IF(AND(L60="Mittellos und stationär",D61&gt;4,D61&lt;=8),87,IF(AND(L60="Mittellos und stationär",D61&gt;2,D61&lt;=4),124,IF(AND(L60="Mittellos und stationär",D61&gt;1,D61&lt;=2),129,IF(AND(L60="Mittellos und stationär",D61&gt;0,D61&lt;=1),194,""))))))))))))))))))))),IF(M59="Stufe B",IF(AND(L60="Auswahl treffen",D61&gt;=0,D61&lt;=1000),J59,IF(AND(L60="Vermögend und ambulant",D61&gt;8,D61&lt;=1000),161,IF(AND(L60="Vermögend und ambulant",D61&gt;4,D61&lt;=8),196,IF(AND(L60="Vermögend und ambulant",D61&gt;2,D61&lt;=4),238,IF(AND(L60="Vermögend und ambulant",D61&gt;1,D61&lt;=2),258,IF(AND(L60="Vermögend und ambulant",D61&gt;0,D61&lt;=1),370,IF(AND(L60="Vermögend und stationär",D61&gt;8,D61&lt;=1000),96,IF(AND(L60="Vermögend und stationär",D61&gt;4,D61&lt;=8),113,IF(AND(L60="Vermögend und stationär",D61&gt;2,D61&lt;=4),174,IF(AND(L60="Vermögend und stationär",D61&gt;1,D61&lt;=2),196,IF(AND(L60="Vermögend und stationär",D61&gt;0,D61&lt;=1),249,IF(AND(L60="Mittellos und ambulant",D61&gt;8,D61&lt;=1000),130,IF(AND(L60="Mittellos und ambulant",D61&gt;4,D61&lt;=8),151,IF(AND(L60="Mittellos und ambulant",D61&gt;2,D61&lt;=4),188,IF(AND(L60="Mittellos und ambulant",D61&gt;1,D61&lt;=2),211,IF(AND(L60="Mittellos und ambulant",D61&gt;0,D61&lt;=1),258,IF(AND(L60="Mittellos und stationär",D61&gt;8,D61&lt;=1000),78,IF(AND(L60="Mittellos und stationär",D61&gt;4,D61&lt;=8),107,IF(AND(L60="Mittellos und stationär",D61&gt;2,D61&lt;=4),154,IF(AND(L60="Mittellos und stationär",D61&gt;1,D61&lt;=2),158,IF(AND(L60="Mittellos und stationär",D61&gt;0,D61&lt;=1),241,""))))))))))))))))))))),IF(M59="Stufe C",IF(AND(L60="Auswahl treffen",D61&gt;=0,D61&lt;=1000),J59,IF(AND(L60="Vermögend und ambulant",D61&gt;8,D61&lt;=1000),211,IF(AND(L60="Vermögend und ambulant",D61&gt;4,D61&lt;=8),257,IF(AND(L60="Vermögend und ambulant",D61&gt;2,D61&lt;=4),312,IF(AND(L60="Vermögend und ambulant",D61&gt;1,D61&lt;=2),339,IF(AND(L60="Vermögend und ambulant",D61&gt;0,D61&lt;=1),486,IF(AND(L60="Vermögend und stationär",D61&gt;8,D61&lt;=1000),127,IF(AND(L60="Vermögend und stationär",D61&gt;4,D61&lt;=8),149,IF(AND(L60="Vermögend und stationär",D61&gt;2,D61&lt;=4),229,IF(AND(L60="Vermögend und stationär",D61&gt;1,D61&lt;=2),257,IF(AND(L60="Vermögend und stationär",D61&gt;0,D61&lt;=1),327,IF(AND(L60="Mittellos und ambulant",D61&gt;8,D61&lt;=1000),171,IF(AND(L60="Mittellos und ambulant",D61&gt;4,D61&lt;=8),198,IF(AND(L60="Mittellos und ambulant",D61&gt;2,D61&lt;=4),246,IF(AND(L60="Mittellos und ambulant",D61&gt;1,D61&lt;=2),277,IF(AND(L60="Mittellos und ambulant",D61&gt;0,D61&lt;=1),339,IF(AND(L60="Mittellos und stationär",D61&gt;8,D61&lt;=1000),102,IF(AND(L60="Mittellos und stationär",D61&gt;4,D61&lt;=8),141,IF(AND(L60="Mittellos und stationär",D61&gt;2,D61&lt;=4),202,IF(AND(L60="Mittellos und stationär",D61&gt;1,D61&lt;=2),208,IF(AND(L60="Mittellos und stationär",D61&gt;0,D61&lt;=1),317,""))))))))))))))))))))),"")))*3+(J59*90)</f>
        <v>633</v>
      </c>
      <c r="M62" s="507" t="str">
        <f>CONCATENATE(K62, K61)</f>
        <v>+Inflat.-P</v>
      </c>
      <c r="N62" s="206" t="s">
        <v>118</v>
      </c>
      <c r="O62" s="207"/>
      <c r="P62" s="207"/>
      <c r="Q62" s="208"/>
      <c r="R62" s="187"/>
      <c r="S62" s="209" t="s">
        <v>118</v>
      </c>
      <c r="T62" s="201" t="s">
        <v>117</v>
      </c>
      <c r="U62" s="210" t="s">
        <v>26</v>
      </c>
      <c r="V62" s="192"/>
      <c r="W62" s="203"/>
      <c r="X62" s="203"/>
      <c r="Y62" s="210"/>
      <c r="Z62" s="192"/>
      <c r="AA62" s="203"/>
      <c r="AB62" s="203"/>
      <c r="AC62" s="210"/>
      <c r="AD62" s="192"/>
      <c r="AE62" s="203"/>
      <c r="AF62" s="203"/>
      <c r="AG62" s="210"/>
      <c r="AH62" s="193"/>
      <c r="AI62" s="203"/>
      <c r="AJ62" s="203"/>
      <c r="AK62" s="376"/>
      <c r="AL62" s="348" t="s">
        <v>148</v>
      </c>
      <c r="AM62" s="354">
        <f>IF(SUM(N60:N68)=SUM(S60:S68), 0, SUM(N60:N68)-SUM(S60:S68))</f>
        <v>0</v>
      </c>
      <c r="AN62" s="354"/>
      <c r="AO62" s="354"/>
      <c r="AP62" s="354"/>
      <c r="AQ62" s="350">
        <f>AM62+AN62+AO62+AP62</f>
        <v>0</v>
      </c>
      <c r="AR62" s="769"/>
      <c r="AS62" s="769"/>
      <c r="AT62" s="769"/>
      <c r="AW62" s="335"/>
      <c r="AX62" s="335"/>
      <c r="AY62" s="778"/>
      <c r="AZ62" s="335"/>
      <c r="BA62" s="335"/>
      <c r="BB62" s="335"/>
      <c r="BC62" s="335"/>
      <c r="BD62" s="1299"/>
      <c r="BE62" s="335"/>
      <c r="BF62" s="335"/>
      <c r="BG62" s="778"/>
      <c r="BH62" s="335"/>
      <c r="BI62" s="335"/>
      <c r="BJ62" s="335"/>
      <c r="BK62" s="335"/>
      <c r="BM62" s="334"/>
      <c r="BP62" s="335"/>
      <c r="BQ62" s="335"/>
      <c r="BR62" s="335"/>
      <c r="BS62" s="335"/>
      <c r="BT62" s="335"/>
      <c r="BU62" s="335"/>
      <c r="BV62" s="335"/>
      <c r="BW62" s="335"/>
      <c r="BX62" s="335"/>
      <c r="BY62" s="335"/>
      <c r="BZ62" s="335"/>
      <c r="CA62" s="335"/>
      <c r="CB62" s="335"/>
      <c r="CC62" s="335"/>
      <c r="CD62" s="335"/>
      <c r="CE62" s="335"/>
      <c r="CF62" s="335"/>
      <c r="CG62" s="335"/>
      <c r="CH62" s="335"/>
      <c r="CI62" s="335"/>
    </row>
    <row r="63" spans="1:87" ht="22.25" customHeight="1">
      <c r="A63" s="181">
        <f t="shared" si="3"/>
        <v>45292</v>
      </c>
      <c r="B63" s="484">
        <f>MONTH(I60)</f>
        <v>12</v>
      </c>
      <c r="C63" s="489" t="s">
        <v>158</v>
      </c>
      <c r="D63" s="522">
        <f>D61+1</f>
        <v>10</v>
      </c>
      <c r="E63" s="211">
        <f>DATE(YEAR(E62),MONTH(E62),DAY(E62)+1)</f>
        <v>45374</v>
      </c>
      <c r="F63" s="212">
        <f t="shared" si="32"/>
        <v>23</v>
      </c>
      <c r="G63" s="213">
        <f t="shared" si="33"/>
        <v>3</v>
      </c>
      <c r="H63" s="212">
        <f t="shared" si="34"/>
        <v>2024</v>
      </c>
      <c r="I63" s="214" t="str">
        <f>IF(D60&lt;&gt;0,"-1T","")</f>
        <v>-1T</v>
      </c>
      <c r="J63" s="215">
        <f>DATE($B65,I64,$B61)</f>
        <v>45282</v>
      </c>
      <c r="K63" s="501" t="str">
        <f t="shared" si="19"/>
        <v/>
      </c>
      <c r="L63" s="470"/>
      <c r="M63" s="473" t="str">
        <f ca="1">SUM(J60-E64)&amp;" Tage"</f>
        <v>10 Tage</v>
      </c>
      <c r="N63" s="216"/>
      <c r="O63" s="217"/>
      <c r="P63" s="188"/>
      <c r="Q63" s="217"/>
      <c r="R63" s="189"/>
      <c r="S63" s="190"/>
      <c r="T63" s="190"/>
      <c r="U63" s="191"/>
      <c r="V63" s="192"/>
      <c r="W63" s="190"/>
      <c r="X63" s="190"/>
      <c r="Y63" s="191"/>
      <c r="Z63" s="192"/>
      <c r="AA63" s="190"/>
      <c r="AB63" s="190"/>
      <c r="AC63" s="191"/>
      <c r="AD63" s="192"/>
      <c r="AE63" s="190"/>
      <c r="AF63" s="190"/>
      <c r="AG63" s="191"/>
      <c r="AH63" s="193"/>
      <c r="AI63" s="190"/>
      <c r="AJ63" s="190"/>
      <c r="AK63" s="374"/>
      <c r="AL63" s="348"/>
      <c r="AM63" s="354"/>
      <c r="AN63" s="354"/>
      <c r="AO63" s="354"/>
      <c r="AP63" s="354"/>
      <c r="AQ63" s="350"/>
      <c r="AR63" s="769"/>
      <c r="AS63" s="769"/>
      <c r="AT63" s="769"/>
      <c r="AW63" s="335"/>
      <c r="AX63" s="335"/>
      <c r="AY63" s="778"/>
      <c r="AZ63" s="335"/>
      <c r="BA63" s="335"/>
      <c r="BB63" s="335"/>
      <c r="BC63" s="335"/>
      <c r="BD63" s="1299"/>
      <c r="BE63" s="335"/>
      <c r="BF63" s="335"/>
      <c r="BG63" s="778"/>
      <c r="BH63" s="335"/>
      <c r="BI63" s="335"/>
      <c r="BJ63" s="335"/>
      <c r="BK63" s="335"/>
      <c r="BM63" s="334"/>
      <c r="BP63" s="335"/>
      <c r="BQ63" s="335"/>
      <c r="BR63" s="335"/>
      <c r="BS63" s="335"/>
      <c r="BT63" s="335"/>
      <c r="BU63" s="335"/>
      <c r="BV63" s="335"/>
      <c r="BW63" s="335"/>
      <c r="BX63" s="335"/>
      <c r="BY63" s="335"/>
      <c r="BZ63" s="335"/>
      <c r="CA63" s="335"/>
      <c r="CB63" s="335"/>
      <c r="CC63" s="335"/>
      <c r="CD63" s="335"/>
      <c r="CE63" s="335"/>
      <c r="CF63" s="335"/>
      <c r="CG63" s="335"/>
      <c r="CH63" s="335"/>
      <c r="CI63" s="335"/>
    </row>
    <row r="64" spans="1:87" ht="22.25" customHeight="1">
      <c r="A64" s="181">
        <f t="shared" si="3"/>
        <v>45292</v>
      </c>
      <c r="B64" s="485"/>
      <c r="C64" s="490"/>
      <c r="D64" s="521"/>
      <c r="E64" s="218">
        <f>DATE(YEAR(E63),MONTH(E63)+3,DAY(E63)-1)</f>
        <v>45465</v>
      </c>
      <c r="F64" s="212">
        <f t="shared" si="32"/>
        <v>22</v>
      </c>
      <c r="G64" s="213">
        <f t="shared" si="33"/>
        <v>6</v>
      </c>
      <c r="H64" s="212">
        <f t="shared" si="34"/>
        <v>2024</v>
      </c>
      <c r="I64" s="219">
        <f>MAX(I65:I68)</f>
        <v>12</v>
      </c>
      <c r="J64" s="220">
        <f>DATE(YEAR(J63)+1,MONTH(J63),DAY(J63))</f>
        <v>45648</v>
      </c>
      <c r="K64" s="506" t="str">
        <f t="shared" si="19"/>
        <v>+Inflat.-P</v>
      </c>
      <c r="L64" s="508">
        <f>IF(M59="Stufe A",IF(AND(L60="Auswahl treffen",D63&gt;=0,D63&lt;=1000),J59,IF(AND(L60="Vermögend und ambulant",D63&gt;8,D63&lt;=1000),130,IF(AND(L60="Vermögend und ambulant",D63&gt;4,D63&lt;=8),158,IF(AND(L60="Vermögend und ambulant",D63&gt;2,D63&lt;=4),192,IF(AND(L60="Vermögend und ambulant",D63&gt;1,D63&lt;=2),208,IF(AND(L60="Vermögend und ambulant",D63&gt;0,D63&lt;=1),298,IF(AND(L60="Vermögend und stationär",D63&gt;8,D63&lt;=1000),78,IF(AND(L60="Vermögend und stationär",D63&gt;4,D63&lt;=8),91,IF(AND(L60="Vermögend und stationär",D63&gt;2,D63&lt;=4),140,IF(AND(L60="Vermögend und stationär",D63&gt;1,D63&lt;=2),158,IF(AND(L60="Vermögend und stationär",D63&gt;0,D63&lt;=1),200,IF(AND(L60="Mittellos und ambulant",D63&gt;8,D63&lt;=1000),105,IF(AND(L60="Mittellos und ambulant",D63&gt;4,D63&lt;=8),122,IF(AND(L60="Mittellos und ambulant",D63&gt;2,D63&lt;=4),151,IF(AND(L60="Mittellos und ambulant",D63&gt;1,D63&lt;=2),170,IF(AND(L60="Mittellos und ambulant",D63&gt;0,D63&lt;=1),208,IF(AND(L60="Mittellos und stationär",D63&gt;8,D63&lt;=1000),62,IF(AND(L60="Mittellos und stationär",D63&gt;4,D63&lt;=8),87,IF(AND(L60="Mittellos und stationär",D63&gt;2,D63&lt;=4),124,IF(AND(L60="Mittellos und stationär",D63&gt;1,D63&lt;=2),129,IF(AND(L60="Mittellos und stationär",D63&gt;0,D63&lt;=1),194,""))))))))))))))))))))),IF(M59="Stufe B",IF(AND(L60="Auswahl treffen",D63&gt;=0,D63&lt;=1000),J59,IF(AND(L60="Vermögend und ambulant",D63&gt;8,D63&lt;=1000),161,IF(AND(L60="Vermögend und ambulant",D63&gt;4,D63&lt;=8),196,IF(AND(L60="Vermögend und ambulant",D63&gt;2,D63&lt;=4),238,IF(AND(L60="Vermögend und ambulant",D63&gt;1,D63&lt;=2),258,IF(AND(L60="Vermögend und ambulant",D63&gt;0,D63&lt;=1),370,IF(AND(L60="Vermögend und stationär",D63&gt;8,D63&lt;=1000),96,IF(AND(L60="Vermögend und stationär",D63&gt;4,D63&lt;=8),113,IF(AND(L60="Vermögend und stationär",D63&gt;2,D63&lt;=4),174,IF(AND(L60="Vermögend und stationär",D63&gt;1,D63&lt;=2),196,IF(AND(L60="Vermögend und stationär",D63&gt;0,D63&lt;=1),249,IF(AND(L60="Mittellos und ambulant",D63&gt;8,D63&lt;=1000),130,IF(AND(L60="Mittellos und ambulant",D63&gt;4,D63&lt;=8),151,IF(AND(L60="Mittellos und ambulant",D63&gt;2,D63&lt;=4),188,IF(AND(L60="Mittellos und ambulant",D63&gt;1,D63&lt;=2),211,IF(AND(L60="Mittellos und ambulant",D63&gt;0,D63&lt;=1),258,IF(AND(L60="Mittellos und stationär",D63&gt;8,D63&lt;=1000),78,IF(AND(L60="Mittellos und stationär",D63&gt;4,D63&lt;=8),107,IF(AND(L60="Mittellos und stationär",D63&gt;2,D63&lt;=4),154,IF(AND(L60="Mittellos und stationär",D63&gt;1,D63&lt;=2),158,IF(AND(L60="Mittellos und stationär",D63&gt;0,D63&lt;=1),241,""))))))))))))))))))))),IF(M59="Stufe C",IF(AND(L60="Auswahl treffen",D63&gt;=0,D63&lt;=1000),J59,IF(AND(L60="Vermögend und ambulant",D63&gt;8,D63&lt;=1000),211,IF(AND(L60="Vermögend und ambulant",D63&gt;4,D63&lt;=8),257,IF(AND(L60="Vermögend und ambulant",D63&gt;2,D63&lt;=4),312,IF(AND(L60="Vermögend und ambulant",D63&gt;1,D63&lt;=2),339,IF(AND(L60="Vermögend und ambulant",D63&gt;0,D63&lt;=1),486,IF(AND(L60="Vermögend und stationär",D63&gt;8,D63&lt;=1000),127,IF(AND(L60="Vermögend und stationär",D63&gt;4,D63&lt;=8),149,IF(AND(L60="Vermögend und stationär",D63&gt;2,D63&lt;=4),229,IF(AND(L60="Vermögend und stationär",D63&gt;1,D63&lt;=2),257,IF(AND(L60="Vermögend und stationär",D63&gt;0,D63&lt;=1),327,IF(AND(L60="Mittellos und ambulant",D63&gt;8,D63&lt;=1000),171,IF(AND(L60="Mittellos und ambulant",D63&gt;4,D63&lt;=8),198,IF(AND(L60="Mittellos und ambulant",D63&gt;2,D63&lt;=4),246,IF(AND(L60="Mittellos und ambulant",D63&gt;1,D63&lt;=2),277,IF(AND(L60="Mittellos und ambulant",D63&gt;0,D63&lt;=1),339,IF(AND(L60="Mittellos und stationär",D63&gt;8,D63&lt;=1000),102,IF(AND(L60="Mittellos und stationär",D63&gt;4,D63&lt;=8),141,IF(AND(L60="Mittellos und stationär",D63&gt;2,D63&lt;=4),202,IF(AND(L60="Mittellos und stationär",D63&gt;1,D63&lt;=2),208,IF(AND(L60="Mittellos und stationär",D63&gt;0,D63&lt;=1),317,""))))))))))))))))))))),"")))*3+(J59*90)</f>
        <v>633</v>
      </c>
      <c r="M64" s="507" t="str">
        <f>CONCATENATE(K64, K63)</f>
        <v>+Inflat.-P</v>
      </c>
      <c r="N64" s="216"/>
      <c r="O64" s="188" t="s">
        <v>118</v>
      </c>
      <c r="P64" s="188"/>
      <c r="Q64" s="221"/>
      <c r="R64" s="199"/>
      <c r="S64" s="190"/>
      <c r="T64" s="190"/>
      <c r="U64" s="191"/>
      <c r="V64" s="192"/>
      <c r="W64" s="222" t="s">
        <v>118</v>
      </c>
      <c r="X64" s="222" t="s">
        <v>117</v>
      </c>
      <c r="Y64" s="191" t="s">
        <v>26</v>
      </c>
      <c r="Z64" s="192"/>
      <c r="AA64" s="190"/>
      <c r="AB64" s="190"/>
      <c r="AC64" s="191"/>
      <c r="AD64" s="192"/>
      <c r="AE64" s="190"/>
      <c r="AF64" s="190"/>
      <c r="AG64" s="191"/>
      <c r="AH64" s="193"/>
      <c r="AI64" s="190"/>
      <c r="AJ64" s="190"/>
      <c r="AK64" s="374"/>
      <c r="AL64" s="348" t="s">
        <v>149</v>
      </c>
      <c r="AM64" s="354"/>
      <c r="AN64" s="354">
        <f>IF(SUM(O60:O68)=SUM(W60:W68), 0, SUM(O60:O68)-SUM(W60:W68))</f>
        <v>0</v>
      </c>
      <c r="AO64" s="354"/>
      <c r="AP64" s="354"/>
      <c r="AQ64" s="350">
        <f>AM64+AN64+AO64+AP64</f>
        <v>0</v>
      </c>
      <c r="AR64" s="769"/>
      <c r="AS64" s="769"/>
      <c r="AT64" s="769"/>
      <c r="AW64" s="335"/>
      <c r="AX64" s="335"/>
      <c r="AY64" s="778"/>
      <c r="AZ64" s="335"/>
      <c r="BA64" s="335"/>
      <c r="BB64" s="335"/>
      <c r="BC64" s="335"/>
      <c r="BD64" s="1299"/>
      <c r="BE64" s="335"/>
      <c r="BF64" s="335"/>
      <c r="BG64" s="778"/>
      <c r="BH64" s="335"/>
      <c r="BI64" s="335"/>
      <c r="BJ64" s="335"/>
      <c r="BK64" s="335"/>
      <c r="BM64" s="334"/>
      <c r="BP64" s="335"/>
      <c r="BQ64" s="335"/>
      <c r="BR64" s="335"/>
      <c r="BS64" s="335"/>
      <c r="BT64" s="335"/>
      <c r="BU64" s="335"/>
      <c r="BV64" s="335"/>
      <c r="BW64" s="335"/>
      <c r="BX64" s="335"/>
      <c r="BY64" s="335"/>
      <c r="BZ64" s="335"/>
      <c r="CA64" s="335"/>
      <c r="CB64" s="335"/>
      <c r="CC64" s="335"/>
      <c r="CD64" s="335"/>
      <c r="CE64" s="335"/>
      <c r="CF64" s="335"/>
      <c r="CG64" s="335"/>
      <c r="CH64" s="335"/>
      <c r="CI64" s="335"/>
    </row>
    <row r="65" spans="1:87" ht="22.25" customHeight="1">
      <c r="A65" s="181">
        <f t="shared" si="3"/>
        <v>45292</v>
      </c>
      <c r="B65" s="484">
        <f>YEAR($A66)-1</f>
        <v>2023</v>
      </c>
      <c r="C65" s="489" t="s">
        <v>158</v>
      </c>
      <c r="D65" s="520">
        <f>D63+1</f>
        <v>11</v>
      </c>
      <c r="E65" s="194">
        <f>DATE(YEAR(E64),MONTH(E64),DAY(E64)+1)</f>
        <v>45466</v>
      </c>
      <c r="F65" s="195">
        <f t="shared" si="32"/>
        <v>23</v>
      </c>
      <c r="G65" s="196">
        <f t="shared" si="33"/>
        <v>6</v>
      </c>
      <c r="H65" s="195">
        <f t="shared" si="34"/>
        <v>2024</v>
      </c>
      <c r="I65" s="223" t="str">
        <f>IF(J67&lt;13,J67,"")</f>
        <v/>
      </c>
      <c r="J65" s="224">
        <f>G60</f>
        <v>12</v>
      </c>
      <c r="K65" s="501" t="str">
        <f t="shared" si="19"/>
        <v/>
      </c>
      <c r="L65" s="471"/>
      <c r="M65" s="473" t="str">
        <f ca="1">SUM(J60-E66)&amp;" Tage"</f>
        <v>-82 Tage</v>
      </c>
      <c r="N65" s="200"/>
      <c r="O65" s="201"/>
      <c r="P65" s="201"/>
      <c r="Q65" s="202"/>
      <c r="R65" s="189"/>
      <c r="S65" s="203"/>
      <c r="T65" s="203"/>
      <c r="U65" s="204"/>
      <c r="V65" s="192"/>
      <c r="W65" s="203"/>
      <c r="X65" s="203"/>
      <c r="Y65" s="204"/>
      <c r="Z65" s="192"/>
      <c r="AA65" s="203"/>
      <c r="AB65" s="203"/>
      <c r="AC65" s="204"/>
      <c r="AD65" s="192"/>
      <c r="AE65" s="203"/>
      <c r="AF65" s="203"/>
      <c r="AG65" s="204"/>
      <c r="AH65" s="193"/>
      <c r="AI65" s="203"/>
      <c r="AJ65" s="203"/>
      <c r="AK65" s="375"/>
      <c r="AL65" s="348"/>
      <c r="AM65" s="354"/>
      <c r="AN65" s="354"/>
      <c r="AO65" s="354"/>
      <c r="AP65" s="354"/>
      <c r="AQ65" s="350"/>
      <c r="AR65" s="769"/>
      <c r="AS65" s="769"/>
      <c r="AT65" s="769"/>
      <c r="AW65" s="335"/>
      <c r="AX65" s="335"/>
      <c r="AY65" s="778"/>
      <c r="AZ65" s="335"/>
      <c r="BA65" s="335"/>
      <c r="BB65" s="335"/>
      <c r="BC65" s="335"/>
      <c r="BD65" s="1299"/>
      <c r="BE65" s="335"/>
      <c r="BF65" s="335"/>
      <c r="BG65" s="778"/>
      <c r="BH65" s="335"/>
      <c r="BI65" s="335"/>
      <c r="BJ65" s="335"/>
      <c r="BK65" s="335"/>
      <c r="BM65" s="334"/>
      <c r="BP65" s="335"/>
      <c r="BQ65" s="335"/>
      <c r="BR65" s="335"/>
      <c r="BS65" s="335"/>
      <c r="BT65" s="335"/>
      <c r="BU65" s="335"/>
      <c r="BV65" s="335"/>
      <c r="BW65" s="335"/>
      <c r="BX65" s="335"/>
      <c r="BY65" s="335"/>
      <c r="BZ65" s="335"/>
      <c r="CA65" s="335"/>
      <c r="CB65" s="335"/>
      <c r="CC65" s="335"/>
      <c r="CD65" s="335"/>
      <c r="CE65" s="335"/>
      <c r="CF65" s="335"/>
      <c r="CG65" s="335"/>
      <c r="CH65" s="335"/>
      <c r="CI65" s="335"/>
    </row>
    <row r="66" spans="1:87" ht="22.25" customHeight="1">
      <c r="A66" s="181">
        <f t="shared" si="3"/>
        <v>45292</v>
      </c>
      <c r="B66" s="485"/>
      <c r="C66" s="490"/>
      <c r="D66" s="521"/>
      <c r="E66" s="194">
        <f>DATE(YEAR(E65),MONTH(E65)+3,DAY(E65)-1)</f>
        <v>45557</v>
      </c>
      <c r="F66" s="195">
        <f t="shared" si="32"/>
        <v>22</v>
      </c>
      <c r="G66" s="196">
        <f t="shared" si="33"/>
        <v>9</v>
      </c>
      <c r="H66" s="195">
        <f t="shared" si="34"/>
        <v>2024</v>
      </c>
      <c r="I66" s="225" t="str">
        <f>IF(J68&lt;13,J68,"")</f>
        <v/>
      </c>
      <c r="J66" s="224">
        <f>J65+3</f>
        <v>15</v>
      </c>
      <c r="K66" s="506" t="str">
        <f t="shared" si="19"/>
        <v>+Inflat.-P</v>
      </c>
      <c r="L66" s="511">
        <f>IF(M59="Stufe A",IF(AND(L60="Auswahl treffen",D65&gt;=0,D65&lt;=1000),J59,IF(AND(L60="Vermögend und ambulant",D65&gt;8,D65&lt;=1000),130,IF(AND(L60="Vermögend und ambulant",D65&gt;4,D65&lt;=8),158,IF(AND(L60="Vermögend und ambulant",D65&gt;2,D65&lt;=4),192,IF(AND(L60="Vermögend und ambulant",D65&gt;1,D65&lt;=2),208,IF(AND(L60="Vermögend und ambulant",D65&gt;0,D65&lt;=1),298,IF(AND(L60="Vermögend und stationär",D65&gt;8,D65&lt;=1000),78,IF(AND(L60="Vermögend und stationär",D65&gt;4,D65&lt;=8),91,IF(AND(L60="Vermögend und stationär",D65&gt;2,D65&lt;=4),140,IF(AND(L60="Vermögend und stationär",D65&gt;1,D65&lt;=2),158,IF(AND(L60="Vermögend und stationär",D65&gt;0,D65&lt;=1),200,IF(AND(L60="Mittellos und ambulant",D65&gt;8,D65&lt;=1000),105,IF(AND(L60="Mittellos und ambulant",D65&gt;4,D65&lt;=8),122,IF(AND(L60="Mittellos und ambulant",D65&gt;2,D65&lt;=4),151,IF(AND(L60="Mittellos und ambulant",D65&gt;1,D65&lt;=2),170,IF(AND(L60="Mittellos und ambulant",D65&gt;0,D65&lt;=1),208,IF(AND(L60="Mittellos und stationär",D65&gt;8,D65&lt;=1000),62,IF(AND(L60="Mittellos und stationär",D65&gt;4,D65&lt;=8),87,IF(AND(L60="Mittellos und stationär",D65&gt;2,D65&lt;=4),124,IF(AND(L60="Mittellos und stationär",D65&gt;1,D65&lt;=2),129,IF(AND(L60="Mittellos und stationär",D65&gt;0,D65&lt;=1),194,""))))))))))))))))))))),IF(M59="Stufe B",IF(AND(L60="Auswahl treffen",D65&gt;=0,D65&lt;=1000),J59,IF(AND(L60="Vermögend und ambulant",D65&gt;8,D65&lt;=1000),161,IF(AND(L60="Vermögend und ambulant",D65&gt;4,D65&lt;=8),196,IF(AND(L60="Vermögend und ambulant",D65&gt;2,D65&lt;=4),238,IF(AND(L60="Vermögend und ambulant",D65&gt;1,D65&lt;=2),258,IF(AND(L60="Vermögend und ambulant",D65&gt;0,D65&lt;=1),370,IF(AND(L60="Vermögend und stationär",D65&gt;8,D65&lt;=1000),96,IF(AND(L60="Vermögend und stationär",D65&gt;4,D65&lt;=8),113,IF(AND(L60="Vermögend und stationär",D65&gt;2,D65&lt;=4),174,IF(AND(L60="Vermögend und stationär",D65&gt;1,D65&lt;=2),196,IF(AND(L60="Vermögend und stationär",D65&gt;0,D65&lt;=1),249,IF(AND(L60="Mittellos und ambulant",D65&gt;8,D65&lt;=1000),130,IF(AND(L60="Mittellos und ambulant",D65&gt;4,D65&lt;=8),151,IF(AND(L60="Mittellos und ambulant",D65&gt;2,D65&lt;=4),188,IF(AND(L60="Mittellos und ambulant",D65&gt;1,D65&lt;=2),211,IF(AND(L60="Mittellos und ambulant",D65&gt;0,D65&lt;=1),258,IF(AND(L60="Mittellos und stationär",D65&gt;8,D65&lt;=1000),78,IF(AND(L60="Mittellos und stationär",D65&gt;4,D65&lt;=8),107,IF(AND(L60="Mittellos und stationär",D65&gt;2,D65&lt;=4),154,IF(AND(L60="Mittellos und stationär",D65&gt;1,D65&lt;=2),158,IF(AND(L60="Mittellos und stationär",D65&gt;0,D65&lt;=1),241,""))))))))))))))))))))),IF(M59="Stufe C",IF(AND(L60="Auswahl treffen",D65&gt;=0,D65&lt;=1000),J59,IF(AND(L60="Vermögend und ambulant",D65&gt;8,D65&lt;=1000),211,IF(AND(L60="Vermögend und ambulant",D65&gt;4,D65&lt;=8),257,IF(AND(L60="Vermögend und ambulant",D65&gt;2,D65&lt;=4),312,IF(AND(L60="Vermögend und ambulant",D65&gt;1,D65&lt;=2),339,IF(AND(L60="Vermögend und ambulant",D65&gt;0,D65&lt;=1),486,IF(AND(L60="Vermögend und stationär",D65&gt;8,D65&lt;=1000),127,IF(AND(L60="Vermögend und stationär",D65&gt;4,D65&lt;=8),149,IF(AND(L60="Vermögend und stationär",D65&gt;2,D65&lt;=4),229,IF(AND(L60="Vermögend und stationär",D65&gt;1,D65&lt;=2),257,IF(AND(L60="Vermögend und stationär",D65&gt;0,D65&lt;=1),327,IF(AND(L60="Mittellos und ambulant",D65&gt;8,D65&lt;=1000),171,IF(AND(L60="Mittellos und ambulant",D65&gt;4,D65&lt;=8),198,IF(AND(L60="Mittellos und ambulant",D65&gt;2,D65&lt;=4),246,IF(AND(L60="Mittellos und ambulant",D65&gt;1,D65&lt;=2),277,IF(AND(L60="Mittellos und ambulant",D65&gt;0,D65&lt;=1),339,IF(AND(L60="Mittellos und stationär",D65&gt;8,D65&lt;=1000),102,IF(AND(L60="Mittellos und stationär",D65&gt;4,D65&lt;=8),141,IF(AND(L60="Mittellos und stationär",D65&gt;2,D65&lt;=4),202,IF(AND(L60="Mittellos und stationär",D65&gt;1,D65&lt;=2),208,IF(AND(L60="Mittellos und stationär",D65&gt;0,D65&lt;=1),317,""))))))))))))))))))))),"")))*3+(J59*90)</f>
        <v>633</v>
      </c>
      <c r="M66" s="507" t="str">
        <f>CONCATENATE(K66, K65)</f>
        <v>+Inflat.-P</v>
      </c>
      <c r="N66" s="206"/>
      <c r="O66" s="207"/>
      <c r="P66" s="206" t="s">
        <v>118</v>
      </c>
      <c r="Q66" s="226"/>
      <c r="R66" s="189"/>
      <c r="S66" s="203"/>
      <c r="T66" s="203"/>
      <c r="U66" s="204"/>
      <c r="V66" s="192"/>
      <c r="W66" s="203"/>
      <c r="X66" s="203"/>
      <c r="Y66" s="204"/>
      <c r="Z66" s="192"/>
      <c r="AA66" s="209" t="s">
        <v>118</v>
      </c>
      <c r="AB66" s="209" t="s">
        <v>117</v>
      </c>
      <c r="AC66" s="204" t="s">
        <v>26</v>
      </c>
      <c r="AD66" s="192"/>
      <c r="AE66" s="203"/>
      <c r="AF66" s="203"/>
      <c r="AG66" s="204"/>
      <c r="AH66" s="193"/>
      <c r="AI66" s="203"/>
      <c r="AJ66" s="203"/>
      <c r="AK66" s="375"/>
      <c r="AL66" s="348" t="s">
        <v>150</v>
      </c>
      <c r="AM66" s="354"/>
      <c r="AN66" s="354"/>
      <c r="AO66" s="354">
        <f>IF(SUM(P60:P68)=SUM(AA60:AA68), 0, SUM(P60:P68)-SUM(AA60:AA68))</f>
        <v>0</v>
      </c>
      <c r="AP66" s="354"/>
      <c r="AQ66" s="350">
        <f>AM66+AN66+AO66+AP66</f>
        <v>0</v>
      </c>
      <c r="AR66" s="769"/>
      <c r="AS66" s="769"/>
      <c r="AT66" s="769"/>
      <c r="AW66" s="335"/>
      <c r="AX66" s="335"/>
      <c r="AY66" s="778"/>
      <c r="AZ66" s="335"/>
      <c r="BA66" s="335"/>
      <c r="BB66" s="335"/>
      <c r="BC66" s="335"/>
      <c r="BD66" s="1299"/>
      <c r="BE66" s="335"/>
      <c r="BF66" s="335"/>
      <c r="BG66" s="778"/>
      <c r="BH66" s="335"/>
      <c r="BI66" s="335"/>
      <c r="BJ66" s="335"/>
      <c r="BK66" s="335"/>
      <c r="BM66" s="334"/>
      <c r="BP66" s="335"/>
      <c r="BQ66" s="335"/>
      <c r="BR66" s="335"/>
      <c r="BS66" s="335"/>
      <c r="BT66" s="335"/>
      <c r="BU66" s="335"/>
      <c r="BV66" s="335"/>
      <c r="BW66" s="335"/>
      <c r="BX66" s="335"/>
      <c r="BY66" s="335"/>
      <c r="BZ66" s="335"/>
      <c r="CA66" s="335"/>
      <c r="CB66" s="335"/>
      <c r="CC66" s="335"/>
      <c r="CD66" s="335"/>
      <c r="CE66" s="335"/>
      <c r="CF66" s="335"/>
      <c r="CG66" s="335"/>
      <c r="CH66" s="335"/>
      <c r="CI66" s="335"/>
    </row>
    <row r="67" spans="1:87" ht="22.25" customHeight="1">
      <c r="A67" s="181">
        <f t="shared" si="3"/>
        <v>45292</v>
      </c>
      <c r="B67" s="486"/>
      <c r="C67" s="489" t="s">
        <v>158</v>
      </c>
      <c r="D67" s="522">
        <f>D65+1</f>
        <v>12</v>
      </c>
      <c r="E67" s="211">
        <f>DATE(YEAR(E66),MONTH(E66),DAY(E66)+1)</f>
        <v>45558</v>
      </c>
      <c r="F67" s="227">
        <f t="shared" si="32"/>
        <v>23</v>
      </c>
      <c r="G67" s="228">
        <f t="shared" si="33"/>
        <v>9</v>
      </c>
      <c r="H67" s="227">
        <f t="shared" si="34"/>
        <v>2024</v>
      </c>
      <c r="I67" s="229" t="str">
        <f>IF(J66&lt;13,J66,"")</f>
        <v/>
      </c>
      <c r="J67" s="230">
        <f>J68+3</f>
        <v>21</v>
      </c>
      <c r="K67" s="501" t="str">
        <f t="shared" si="19"/>
        <v/>
      </c>
      <c r="L67" s="471"/>
      <c r="M67" s="473" t="str">
        <f ca="1">SUM(J60-E68)&amp;" Tage"</f>
        <v>-173 Tage</v>
      </c>
      <c r="N67" s="216"/>
      <c r="O67" s="188"/>
      <c r="P67" s="188"/>
      <c r="Q67" s="217"/>
      <c r="R67" s="189"/>
      <c r="S67" s="190"/>
      <c r="T67" s="190"/>
      <c r="U67" s="191"/>
      <c r="V67" s="192"/>
      <c r="W67" s="190"/>
      <c r="X67" s="190"/>
      <c r="Y67" s="191"/>
      <c r="Z67" s="192"/>
      <c r="AA67" s="190"/>
      <c r="AB67" s="190"/>
      <c r="AC67" s="191"/>
      <c r="AD67" s="192"/>
      <c r="AE67" s="190"/>
      <c r="AF67" s="190"/>
      <c r="AG67" s="191"/>
      <c r="AH67" s="193"/>
      <c r="AI67" s="190"/>
      <c r="AJ67" s="190"/>
      <c r="AK67" s="374"/>
      <c r="AL67" s="348"/>
      <c r="AM67" s="354"/>
      <c r="AN67" s="354"/>
      <c r="AO67" s="354"/>
      <c r="AP67" s="354"/>
      <c r="AQ67" s="350"/>
      <c r="AR67" s="769"/>
      <c r="AS67" s="769"/>
      <c r="AT67" s="769"/>
      <c r="AW67" s="335"/>
      <c r="AX67" s="335"/>
      <c r="AY67" s="778"/>
      <c r="AZ67" s="335"/>
      <c r="BA67" s="335"/>
      <c r="BB67" s="335"/>
      <c r="BC67" s="335"/>
      <c r="BD67" s="1299"/>
      <c r="BE67" s="335"/>
      <c r="BF67" s="335"/>
      <c r="BG67" s="778"/>
      <c r="BH67" s="335"/>
      <c r="BI67" s="335"/>
      <c r="BJ67" s="335"/>
      <c r="BK67" s="335"/>
      <c r="BM67" s="334"/>
      <c r="BP67" s="335"/>
      <c r="BQ67" s="335"/>
      <c r="BR67" s="335"/>
      <c r="BS67" s="335"/>
      <c r="BT67" s="335"/>
      <c r="BU67" s="335"/>
      <c r="BV67" s="335"/>
      <c r="BW67" s="335"/>
      <c r="BX67" s="335"/>
      <c r="BY67" s="335"/>
      <c r="BZ67" s="335"/>
      <c r="CA67" s="335"/>
      <c r="CB67" s="335"/>
      <c r="CC67" s="335"/>
      <c r="CD67" s="335"/>
      <c r="CE67" s="335"/>
      <c r="CF67" s="335"/>
      <c r="CG67" s="335"/>
      <c r="CH67" s="335"/>
      <c r="CI67" s="335"/>
    </row>
    <row r="68" spans="1:87" ht="22.25" customHeight="1">
      <c r="A68" s="181">
        <f t="shared" si="3"/>
        <v>45292</v>
      </c>
      <c r="B68" s="485"/>
      <c r="C68" s="490"/>
      <c r="D68" s="521"/>
      <c r="E68" s="218">
        <f>DATE(YEAR(E67),MONTH(E67)+3,DAY(E67)-1)</f>
        <v>45648</v>
      </c>
      <c r="F68" s="227">
        <f t="shared" si="32"/>
        <v>22</v>
      </c>
      <c r="G68" s="228">
        <f t="shared" si="33"/>
        <v>12</v>
      </c>
      <c r="H68" s="227">
        <f t="shared" si="34"/>
        <v>2024</v>
      </c>
      <c r="I68" s="231">
        <f>IF(J65&lt;13,J65,"")</f>
        <v>12</v>
      </c>
      <c r="J68" s="230">
        <f>J66+3</f>
        <v>18</v>
      </c>
      <c r="K68" s="501" t="str">
        <f t="shared" si="19"/>
        <v>+Inflat.-P</v>
      </c>
      <c r="L68" s="508">
        <f>IF(M59="Stufe A",IF(AND(L60="Auswahl treffen",D67&gt;=0,D67&lt;=1000),J59,IF(AND(L60="Vermögend und ambulant",D67&gt;8,D67&lt;=1000),130,IF(AND(L60="Vermögend und ambulant",D67&gt;4,D67&lt;=8),158,IF(AND(L60="Vermögend und ambulant",D67&gt;2,D67&lt;=4),192,IF(AND(L60="Vermögend und ambulant",D67&gt;1,D67&lt;=2),208,IF(AND(L60="Vermögend und ambulant",D67&gt;0,D67&lt;=1),298,IF(AND(L60="Vermögend und stationär",D67&gt;8,D67&lt;=1000),78,IF(AND(L60="Vermögend und stationär",D67&gt;4,D67&lt;=8),91,IF(AND(L60="Vermögend und stationär",D67&gt;2,D67&lt;=4),140,IF(AND(L60="Vermögend und stationär",D67&gt;1,D67&lt;=2),158,IF(AND(L60="Vermögend und stationär",D67&gt;0,D67&lt;=1),200,IF(AND(L60="Mittellos und ambulant",D67&gt;8,D67&lt;=1000),105,IF(AND(L60="Mittellos und ambulant",D67&gt;4,D67&lt;=8),122,IF(AND(L60="Mittellos und ambulant",D67&gt;2,D67&lt;=4),151,IF(AND(L60="Mittellos und ambulant",D67&gt;1,D67&lt;=2),170,IF(AND(L60="Mittellos und ambulant",D67&gt;0,D67&lt;=1),208,IF(AND(L60="Mittellos und stationär",D67&gt;8,D67&lt;=1000),62,IF(AND(L60="Mittellos und stationär",D67&gt;4,D67&lt;=8),87,IF(AND(L60="Mittellos und stationär",D67&gt;2,D67&lt;=4),124,IF(AND(L60="Mittellos und stationär",D67&gt;1,D67&lt;=2),129,IF(AND(L60="Mittellos und stationär",D67&gt;0,D67&lt;=1),194,""))))))))))))))))))))),IF(M59="Stufe B",IF(AND(L60="Auswahl treffen",D67&gt;=0,D67&lt;=1000),J59,IF(AND(L60="Vermögend und ambulant",D67&gt;8,D67&lt;=1000),161,IF(AND(L60="Vermögend und ambulant",D67&gt;4,D67&lt;=8),196,IF(AND(L60="Vermögend und ambulant",D67&gt;2,D67&lt;=4),238,IF(AND(L60="Vermögend und ambulant",D67&gt;1,D67&lt;=2),258,IF(AND(L60="Vermögend und ambulant",D67&gt;0,D67&lt;=1),370,IF(AND(L60="Vermögend und stationär",D67&gt;8,D67&lt;=1000),96,IF(AND(L60="Vermögend und stationär",D67&gt;4,D67&lt;=8),113,IF(AND(L60="Vermögend und stationär",D67&gt;2,D67&lt;=4),174,IF(AND(L60="Vermögend und stationär",D67&gt;1,D67&lt;=2),196,IF(AND(L60="Vermögend und stationär",D67&gt;0,D67&lt;=1),249,IF(AND(L60="Mittellos und ambulant",D67&gt;8,D67&lt;=1000),130,IF(AND(L60="Mittellos und ambulant",D67&gt;4,D67&lt;=8),151,IF(AND(L60="Mittellos und ambulant",D67&gt;2,D67&lt;=4),188,IF(AND(L60="Mittellos und ambulant",D67&gt;1,D67&lt;=2),211,IF(AND(L60="Mittellos und ambulant",D67&gt;0,D67&lt;=1),258,IF(AND(L60="Mittellos und stationär",D67&gt;8,D67&lt;=1000),78,IF(AND(L60="Mittellos und stationär",D67&gt;4,D67&lt;=8),107,IF(AND(L60="Mittellos und stationär",D67&gt;2,D67&lt;=4),154,IF(AND(L60="Mittellos und stationär",D67&gt;1,D67&lt;=2),158,IF(AND(L60="Mittellos und stationär",D67&gt;0,D67&lt;=1),241,""))))))))))))))))))))),IF(M59="Stufe C",IF(AND(L60="Auswahl treffen",D67&gt;=0,D67&lt;=1000),J59,IF(AND(L60="Vermögend und ambulant",D67&gt;8,D67&lt;=1000),211,IF(AND(L60="Vermögend und ambulant",D67&gt;4,D67&lt;=8),257,IF(AND(L60="Vermögend und ambulant",D67&gt;2,D67&lt;=4),312,IF(AND(L60="Vermögend und ambulant",D67&gt;1,D67&lt;=2),339,IF(AND(L60="Vermögend und ambulant",D67&gt;0,D67&lt;=1),486,IF(AND(L60="Vermögend und stationär",D67&gt;8,D67&lt;=1000),127,IF(AND(L60="Vermögend und stationär",D67&gt;4,D67&lt;=8),149,IF(AND(L60="Vermögend und stationär",D67&gt;2,D67&lt;=4),229,IF(AND(L60="Vermögend und stationär",D67&gt;1,D67&lt;=2),257,IF(AND(L60="Vermögend und stationär",D67&gt;0,D67&lt;=1),327,IF(AND(L60="Mittellos und ambulant",D67&gt;8,D67&lt;=1000),171,IF(AND(L60="Mittellos und ambulant",D67&gt;4,D67&lt;=8),198,IF(AND(L60="Mittellos und ambulant",D67&gt;2,D67&lt;=4),246,IF(AND(L60="Mittellos und ambulant",D67&gt;1,D67&lt;=2),277,IF(AND(L60="Mittellos und ambulant",D67&gt;0,D67&lt;=1),339,IF(AND(L60="Mittellos und stationär",D67&gt;8,D67&lt;=1000),102,IF(AND(L60="Mittellos und stationär",D67&gt;4,D67&lt;=8),141,IF(AND(L60="Mittellos und stationär",D67&gt;2,D67&lt;=4),202,IF(AND(L60="Mittellos und stationär",D67&gt;1,D67&lt;=2),208,IF(AND(L60="Mittellos und stationär",D67&gt;0,D67&lt;=1),317,""))))))))))))))))))))),"")))*3+(J59*90)</f>
        <v>633</v>
      </c>
      <c r="M68" s="507" t="str">
        <f>CONCATENATE(K68, K67)</f>
        <v>+Inflat.-P</v>
      </c>
      <c r="N68" s="216"/>
      <c r="O68" s="188"/>
      <c r="P68" s="188"/>
      <c r="Q68" s="217" t="s">
        <v>118</v>
      </c>
      <c r="R68" s="189"/>
      <c r="S68" s="190"/>
      <c r="T68" s="190"/>
      <c r="U68" s="191"/>
      <c r="V68" s="192"/>
      <c r="W68" s="190"/>
      <c r="X68" s="190"/>
      <c r="Y68" s="191"/>
      <c r="Z68" s="192"/>
      <c r="AA68" s="190"/>
      <c r="AB68" s="190"/>
      <c r="AC68" s="191"/>
      <c r="AD68" s="192"/>
      <c r="AE68" s="190" t="s">
        <v>118</v>
      </c>
      <c r="AF68" s="190" t="s">
        <v>117</v>
      </c>
      <c r="AG68" s="191" t="s">
        <v>26</v>
      </c>
      <c r="AH68" s="193"/>
      <c r="AI68" s="190" t="s">
        <v>118</v>
      </c>
      <c r="AJ68" s="190" t="s">
        <v>117</v>
      </c>
      <c r="AK68" s="374" t="s">
        <v>26</v>
      </c>
      <c r="AL68" s="348" t="s">
        <v>151</v>
      </c>
      <c r="AM68" s="354"/>
      <c r="AN68" s="354"/>
      <c r="AO68" s="354"/>
      <c r="AP68" s="354">
        <f>IF(SUM(Q60:Q68)=SUM(AE60:AE68,AI60:AI68), 0, SUM(Q60:Q68)-SUM(AE60:AE68,AI60:AI68))</f>
        <v>0</v>
      </c>
      <c r="AQ68" s="350">
        <f>AM68+AN68+AO68+AP68</f>
        <v>0</v>
      </c>
      <c r="AR68" s="769"/>
      <c r="AS68" s="769"/>
      <c r="AT68" s="769"/>
      <c r="AW68" s="335"/>
      <c r="AX68" s="335"/>
      <c r="AY68" s="778"/>
      <c r="AZ68" s="335"/>
      <c r="BA68" s="335"/>
      <c r="BB68" s="335"/>
      <c r="BC68" s="335"/>
      <c r="BD68" s="1299"/>
      <c r="BE68" s="335"/>
      <c r="BF68" s="335"/>
      <c r="BG68" s="778"/>
      <c r="BH68" s="335"/>
      <c r="BI68" s="335"/>
      <c r="BJ68" s="335"/>
      <c r="BK68" s="335"/>
      <c r="BM68" s="334"/>
      <c r="BP68" s="335"/>
      <c r="BQ68" s="335"/>
      <c r="BR68" s="335"/>
      <c r="BS68" s="335"/>
      <c r="BT68" s="335"/>
      <c r="BU68" s="335"/>
      <c r="BV68" s="335"/>
      <c r="BW68" s="335"/>
      <c r="BX68" s="335"/>
      <c r="BY68" s="335"/>
      <c r="BZ68" s="335"/>
      <c r="CA68" s="335"/>
      <c r="CB68" s="335"/>
      <c r="CC68" s="335"/>
      <c r="CD68" s="335"/>
      <c r="CE68" s="335"/>
      <c r="CF68" s="335"/>
      <c r="CG68" s="335"/>
      <c r="CH68" s="335"/>
      <c r="CI68" s="335"/>
    </row>
    <row r="69" spans="1:87" ht="22" customHeight="1">
      <c r="A69" s="181">
        <f t="shared" si="3"/>
        <v>45292</v>
      </c>
      <c r="B69" s="232" t="s">
        <v>74</v>
      </c>
      <c r="C69" s="233" t="s">
        <v>75</v>
      </c>
      <c r="D69" s="234" t="s">
        <v>76</v>
      </c>
      <c r="E69" s="235" t="s">
        <v>11</v>
      </c>
      <c r="F69" s="235" t="s">
        <v>4</v>
      </c>
      <c r="G69" s="235" t="s">
        <v>5</v>
      </c>
      <c r="H69" s="235" t="s">
        <v>6</v>
      </c>
      <c r="I69" s="236" t="s">
        <v>77</v>
      </c>
      <c r="J69" s="306"/>
      <c r="K69" s="506" t="str">
        <f t="shared" si="19"/>
        <v/>
      </c>
      <c r="L69" s="306" t="str">
        <f>IFERROR(VLOOKUP(B70,'Aktuelle Einnahmen'!A2:J104,10,0),"")</f>
        <v/>
      </c>
      <c r="M69" s="510" t="str">
        <f>M59</f>
        <v>Stufe C</v>
      </c>
      <c r="N69" s="237"/>
      <c r="O69" s="238"/>
      <c r="P69" s="238"/>
      <c r="Q69" s="239"/>
      <c r="R69" s="240"/>
      <c r="S69" s="241"/>
      <c r="T69" s="241"/>
      <c r="U69" s="242"/>
      <c r="V69" s="243"/>
      <c r="W69" s="241"/>
      <c r="X69" s="241"/>
      <c r="Y69" s="242"/>
      <c r="Z69" s="243"/>
      <c r="AA69" s="241"/>
      <c r="AB69" s="241"/>
      <c r="AC69" s="242"/>
      <c r="AD69" s="243"/>
      <c r="AE69" s="241"/>
      <c r="AF69" s="241"/>
      <c r="AG69" s="242"/>
      <c r="AH69" s="240"/>
      <c r="AI69" s="241"/>
      <c r="AJ69" s="241"/>
      <c r="AK69" s="377"/>
      <c r="AL69" s="347"/>
      <c r="AM69" s="353"/>
      <c r="AN69" s="353"/>
      <c r="AO69" s="353"/>
      <c r="AP69" s="353"/>
      <c r="AQ69" s="349"/>
      <c r="AR69" s="768"/>
      <c r="AS69" s="768"/>
      <c r="AT69" s="768"/>
      <c r="AW69" s="335"/>
      <c r="AX69" s="335"/>
      <c r="AY69" s="778"/>
      <c r="AZ69" s="335"/>
      <c r="BA69" s="335"/>
      <c r="BB69" s="335"/>
      <c r="BC69" s="335"/>
      <c r="BD69" s="1299"/>
      <c r="BE69" s="335"/>
      <c r="BF69" s="335"/>
      <c r="BG69" s="778"/>
      <c r="BH69" s="335"/>
      <c r="BI69" s="335"/>
      <c r="BJ69" s="335"/>
      <c r="BK69" s="335"/>
      <c r="BM69" s="334"/>
      <c r="BP69" s="335"/>
      <c r="BQ69" s="335"/>
      <c r="BR69" s="335"/>
      <c r="BS69" s="335"/>
      <c r="BT69" s="335"/>
      <c r="BU69" s="335"/>
      <c r="BV69" s="335"/>
      <c r="BW69" s="335"/>
      <c r="BX69" s="335"/>
      <c r="BY69" s="335"/>
      <c r="BZ69" s="335"/>
      <c r="CA69" s="335"/>
      <c r="CB69" s="335"/>
      <c r="CC69" s="335"/>
      <c r="CD69" s="335"/>
      <c r="CE69" s="335"/>
      <c r="CF69" s="335"/>
      <c r="CG69" s="335"/>
      <c r="CH69" s="335"/>
      <c r="CI69" s="335"/>
    </row>
    <row r="70" spans="1:87" ht="23" customHeight="1">
      <c r="A70" s="181">
        <f t="shared" si="3"/>
        <v>45292</v>
      </c>
      <c r="B70" s="182">
        <v>7</v>
      </c>
      <c r="C70" s="183" t="str">
        <f>IFERROR(VLOOKUP($B70,'Aktuelle Einnahmen'!A2:G104,3,0),"")</f>
        <v>Gracia</v>
      </c>
      <c r="D70" s="184" t="str">
        <f>IFERROR(VLOOKUP($B70,'Aktuelle Einnahmen'!A2:G104,2,0),"")</f>
        <v>Grace</v>
      </c>
      <c r="E70" s="185" t="str">
        <f>IFERROR(VLOOKUP($B70,'Aktuelle Einnahmen'!A2:G104,4,0),"")</f>
        <v xml:space="preserve">10 XVII 369 / 18 G </v>
      </c>
      <c r="F70" s="94">
        <f>IFERROR(VLOOKUP($B70,'Aktuelle Einnahmen'!A2:G104,5,0),"")</f>
        <v>29</v>
      </c>
      <c r="G70" s="94">
        <f>IFERROR(VLOOKUP($B70,'Aktuelle Einnahmen'!A2:G104,6,0),"")</f>
        <v>12</v>
      </c>
      <c r="H70" s="94">
        <f>IFERROR(VLOOKUP($B70,'Aktuelle Einnahmen'!A2:G104,7,0),"")</f>
        <v>21</v>
      </c>
      <c r="I70" s="186">
        <f>DATE(H70,G70,F70)</f>
        <v>8034</v>
      </c>
      <c r="J70" s="472">
        <f ca="1">J60</f>
        <v>45475</v>
      </c>
      <c r="K70" s="501" t="str">
        <f t="shared" si="19"/>
        <v>+Inflat.-P</v>
      </c>
      <c r="L70" s="1262" t="str">
        <f>IFERROR(VLOOKUP(B70,'Aktuelle Einnahmen'!A2:I104,9,0),"")</f>
        <v>Mittellos und stationär</v>
      </c>
      <c r="M70" s="1263"/>
      <c r="N70" s="261"/>
      <c r="O70" s="261"/>
      <c r="P70" s="261"/>
      <c r="Q70" s="261"/>
      <c r="R70" s="189"/>
      <c r="S70" s="190"/>
      <c r="T70" s="190"/>
      <c r="U70" s="191"/>
      <c r="V70" s="192"/>
      <c r="W70" s="190"/>
      <c r="X70" s="190"/>
      <c r="Y70" s="191"/>
      <c r="Z70" s="192"/>
      <c r="AA70" s="190"/>
      <c r="AB70" s="190"/>
      <c r="AC70" s="191"/>
      <c r="AD70" s="192"/>
      <c r="AE70" s="190"/>
      <c r="AF70" s="190"/>
      <c r="AG70" s="191"/>
      <c r="AH70" s="193"/>
      <c r="AI70" s="190"/>
      <c r="AJ70" s="190"/>
      <c r="AK70" s="374"/>
      <c r="AL70" s="348"/>
      <c r="AM70" s="354"/>
      <c r="AN70" s="354"/>
      <c r="AO70" s="354"/>
      <c r="AP70" s="354"/>
      <c r="AQ70" s="350"/>
      <c r="AR70" s="769"/>
      <c r="AS70" s="769"/>
      <c r="AT70" s="769"/>
      <c r="AW70" s="335"/>
      <c r="AX70" s="335"/>
      <c r="AY70" s="778"/>
      <c r="AZ70" s="335"/>
      <c r="BA70" s="335"/>
      <c r="BB70" s="335"/>
      <c r="BC70" s="335"/>
      <c r="BD70" s="1299"/>
      <c r="BE70" s="335"/>
      <c r="BF70" s="335"/>
      <c r="BG70" s="778"/>
      <c r="BH70" s="335"/>
      <c r="BI70" s="335"/>
      <c r="BJ70" s="335"/>
      <c r="BK70" s="335"/>
      <c r="BM70" s="334"/>
      <c r="BP70" s="335"/>
      <c r="BQ70" s="335"/>
      <c r="BR70" s="335"/>
      <c r="BS70" s="335"/>
      <c r="BT70" s="335"/>
      <c r="BU70" s="335"/>
      <c r="BV70" s="335"/>
      <c r="BW70" s="335"/>
      <c r="BX70" s="335"/>
      <c r="BY70" s="335"/>
      <c r="BZ70" s="335"/>
      <c r="CA70" s="335"/>
      <c r="CB70" s="335"/>
      <c r="CC70" s="335"/>
      <c r="CD70" s="335"/>
      <c r="CE70" s="335"/>
      <c r="CF70" s="335"/>
      <c r="CG70" s="335"/>
      <c r="CH70" s="335"/>
      <c r="CI70" s="335"/>
    </row>
    <row r="71" spans="1:87" ht="22.25" customHeight="1">
      <c r="A71" s="181">
        <f t="shared" si="3"/>
        <v>45292</v>
      </c>
      <c r="B71" s="484">
        <f>DAY(I70)</f>
        <v>29</v>
      </c>
      <c r="C71" s="489" t="s">
        <v>158</v>
      </c>
      <c r="D71" s="520">
        <f>(I71*4)+J71/3+1</f>
        <v>9</v>
      </c>
      <c r="E71" s="194">
        <f>J73+1</f>
        <v>45290</v>
      </c>
      <c r="F71" s="195">
        <f t="shared" ref="F71:F78" si="35">DAY(E71)</f>
        <v>30</v>
      </c>
      <c r="G71" s="196">
        <f t="shared" ref="G71:G78" si="36">MONTH(E71)</f>
        <v>12</v>
      </c>
      <c r="H71" s="195">
        <f t="shared" ref="H71:H78" si="37">YEAR(E71)</f>
        <v>2023</v>
      </c>
      <c r="I71" s="197">
        <f>H71-(H70+2000)</f>
        <v>2</v>
      </c>
      <c r="J71" s="198">
        <f>G71-G70</f>
        <v>0</v>
      </c>
      <c r="K71" s="506" t="str">
        <f>L69</f>
        <v/>
      </c>
      <c r="L71" s="469"/>
      <c r="M71" s="473" t="str">
        <f ca="1">SUM(J70-E72)&amp;" Tage"</f>
        <v>95 Tage</v>
      </c>
      <c r="N71" s="206"/>
      <c r="O71" s="201"/>
      <c r="P71" s="201"/>
      <c r="Q71" s="202"/>
      <c r="R71" s="189"/>
      <c r="S71" s="203"/>
      <c r="T71" s="203"/>
      <c r="U71" s="204"/>
      <c r="V71" s="192"/>
      <c r="W71" s="203"/>
      <c r="X71" s="203"/>
      <c r="Y71" s="204"/>
      <c r="Z71" s="192"/>
      <c r="AA71" s="203"/>
      <c r="AB71" s="203"/>
      <c r="AC71" s="204"/>
      <c r="AD71" s="192"/>
      <c r="AE71" s="203"/>
      <c r="AF71" s="203"/>
      <c r="AG71" s="204"/>
      <c r="AH71" s="193"/>
      <c r="AI71" s="203"/>
      <c r="AJ71" s="203"/>
      <c r="AK71" s="375"/>
      <c r="AL71" s="348"/>
      <c r="AM71" s="354"/>
      <c r="AN71" s="354"/>
      <c r="AO71" s="354"/>
      <c r="AP71" s="354"/>
      <c r="AQ71" s="350"/>
      <c r="AR71" s="769"/>
      <c r="AS71" s="769"/>
      <c r="AT71" s="769"/>
      <c r="AW71" s="335"/>
      <c r="AX71" s="335"/>
      <c r="AY71" s="778"/>
      <c r="AZ71" s="335"/>
      <c r="BA71" s="335"/>
      <c r="BB71" s="335"/>
      <c r="BC71" s="335"/>
      <c r="BD71" s="1299"/>
      <c r="BE71" s="335"/>
      <c r="BF71" s="335"/>
      <c r="BG71" s="778"/>
      <c r="BH71" s="335"/>
      <c r="BI71" s="335"/>
      <c r="BJ71" s="335"/>
      <c r="BK71" s="335"/>
      <c r="BM71" s="334"/>
      <c r="BP71" s="335"/>
      <c r="BQ71" s="335"/>
      <c r="BR71" s="335"/>
      <c r="BS71" s="335"/>
      <c r="BT71" s="335"/>
      <c r="BU71" s="335"/>
      <c r="BV71" s="335"/>
      <c r="BW71" s="335"/>
      <c r="BX71" s="335"/>
      <c r="BY71" s="335"/>
      <c r="BZ71" s="335"/>
      <c r="CA71" s="335"/>
      <c r="CB71" s="335"/>
      <c r="CC71" s="335"/>
      <c r="CD71" s="335"/>
      <c r="CE71" s="335"/>
      <c r="CF71" s="335"/>
      <c r="CG71" s="335"/>
      <c r="CH71" s="335"/>
      <c r="CI71" s="335"/>
    </row>
    <row r="72" spans="1:87" ht="22.25" customHeight="1">
      <c r="A72" s="181">
        <f t="shared" si="3"/>
        <v>45292</v>
      </c>
      <c r="B72" s="485"/>
      <c r="C72" s="490"/>
      <c r="D72" s="521"/>
      <c r="E72" s="194">
        <f>DATE(YEAR(E71),MONTH(E71)+3,DAY(E71)-1)</f>
        <v>45380</v>
      </c>
      <c r="F72" s="195">
        <f t="shared" si="35"/>
        <v>29</v>
      </c>
      <c r="G72" s="196">
        <f t="shared" si="36"/>
        <v>3</v>
      </c>
      <c r="H72" s="195">
        <f t="shared" si="37"/>
        <v>2024</v>
      </c>
      <c r="I72" s="244">
        <v>-1</v>
      </c>
      <c r="J72" s="198">
        <f>F71-F70</f>
        <v>1</v>
      </c>
      <c r="K72" s="501" t="str">
        <f t="shared" si="19"/>
        <v>+Inflat.-P</v>
      </c>
      <c r="L72" s="511">
        <f>IF(M69="Stufe A",IF(AND(L70="Auswahl treffen",D71&gt;=0,D71&lt;=1000),J69,IF(AND(L70="Vermögend und ambulant",D71&gt;8,D71&lt;=1000),130,IF(AND(L70="Vermögend und ambulant",D71&gt;4,D71&lt;=8),158,IF(AND(L70="Vermögend und ambulant",D71&gt;2,D71&lt;=4),192,IF(AND(L70="Vermögend und ambulant",D71&gt;1,D71&lt;=2),208,IF(AND(L70="Vermögend und ambulant",D71&gt;0,D71&lt;=1),298,IF(AND(L70="Vermögend und stationär",D71&gt;8,D71&lt;=1000),78,IF(AND(L70="Vermögend und stationär",D71&gt;4,D71&lt;=8),91,IF(AND(L70="Vermögend und stationär",D71&gt;2,D71&lt;=4),140,IF(AND(L70="Vermögend und stationär",D71&gt;1,D71&lt;=2),158,IF(AND(L70="Vermögend und stationär",D71&gt;0,D71&lt;=1),200,IF(AND(L70="Mittellos und ambulant",D71&gt;8,D71&lt;=1000),105,IF(AND(L70="Mittellos und ambulant",D71&gt;4,D71&lt;=8),122,IF(AND(L70="Mittellos und ambulant",D71&gt;2,D71&lt;=4),151,IF(AND(L70="Mittellos und ambulant",D71&gt;1,D71&lt;=2),170,IF(AND(L70="Mittellos und ambulant",D71&gt;0,D71&lt;=1),208,IF(AND(L70="Mittellos und stationär",D71&gt;8,D71&lt;=1000),62,IF(AND(L70="Mittellos und stationär",D71&gt;4,D71&lt;=8),87,IF(AND(L70="Mittellos und stationär",D71&gt;2,D71&lt;=4),124,IF(AND(L70="Mittellos und stationär",D71&gt;1,D71&lt;=2),129,IF(AND(L70="Mittellos und stationär",D71&gt;0,D71&lt;=1),194,""))))))))))))))))))))),IF(M69="Stufe B",IF(AND(L70="Auswahl treffen",D71&gt;=0,D71&lt;=1000),J69,IF(AND(L70="Vermögend und ambulant",D71&gt;8,D71&lt;=1000),161,IF(AND(L70="Vermögend und ambulant",D71&gt;4,D71&lt;=8),196,IF(AND(L70="Vermögend und ambulant",D71&gt;2,D71&lt;=4),238,IF(AND(L70="Vermögend und ambulant",D71&gt;1,D71&lt;=2),258,IF(AND(L70="Vermögend und ambulant",D71&gt;0,D71&lt;=1),370,IF(AND(L70="Vermögend und stationär",D71&gt;8,D71&lt;=1000),96,IF(AND(L70="Vermögend und stationär",D71&gt;4,D71&lt;=8),113,IF(AND(L70="Vermögend und stationär",D71&gt;2,D71&lt;=4),174,IF(AND(L70="Vermögend und stationär",D71&gt;1,D71&lt;=2),196,IF(AND(L70="Vermögend und stationär",D71&gt;0,D71&lt;=1),249,IF(AND(L70="Mittellos und ambulant",D71&gt;8,D71&lt;=1000),130,IF(AND(L70="Mittellos und ambulant",D71&gt;4,D71&lt;=8),151,IF(AND(L70="Mittellos und ambulant",D71&gt;2,D71&lt;=4),188,IF(AND(L70="Mittellos und ambulant",D71&gt;1,D71&lt;=2),211,IF(AND(L70="Mittellos und ambulant",D71&gt;0,D71&lt;=1),258,IF(AND(L70="Mittellos und stationär",D71&gt;8,D71&lt;=1000),78,IF(AND(L70="Mittellos und stationär",D71&gt;4,D71&lt;=8),107,IF(AND(L70="Mittellos und stationär",D71&gt;2,D71&lt;=4),154,IF(AND(L70="Mittellos und stationär",D71&gt;1,D71&lt;=2),158,IF(AND(L70="Mittellos und stationär",D71&gt;0,D71&lt;=1),241,""))))))))))))))))))))),IF(M69="Stufe C",IF(AND(L70="Auswahl treffen",D71&gt;=0,D71&lt;=1000),J69,IF(AND(L70="Vermögend und ambulant",D71&gt;8,D71&lt;=1000),211,IF(AND(L70="Vermögend und ambulant",D71&gt;4,D71&lt;=8),257,IF(AND(L70="Vermögend und ambulant",D71&gt;2,D71&lt;=4),312,IF(AND(L70="Vermögend und ambulant",D71&gt;1,D71&lt;=2),339,IF(AND(L70="Vermögend und ambulant",D71&gt;0,D71&lt;=1),486,IF(AND(L70="Vermögend und stationär",D71&gt;8,D71&lt;=1000),127,IF(AND(L70="Vermögend und stationär",D71&gt;4,D71&lt;=8),149,IF(AND(L70="Vermögend und stationär",D71&gt;2,D71&lt;=4),229,IF(AND(L70="Vermögend und stationär",D71&gt;1,D71&lt;=2),257,IF(AND(L70="Vermögend und stationär",D71&gt;0,D71&lt;=1),327,IF(AND(L70="Mittellos und ambulant",D71&gt;8,D71&lt;=1000),171,IF(AND(L70="Mittellos und ambulant",D71&gt;4,D71&lt;=8),198,IF(AND(L70="Mittellos und ambulant",D71&gt;2,D71&lt;=4),246,IF(AND(L70="Mittellos und ambulant",D71&gt;1,D71&lt;=2),277,IF(AND(L70="Mittellos und ambulant",D71&gt;0,D71&lt;=1),339,IF(AND(L70="Mittellos und stationär",D71&gt;8,D71&lt;=1000),102,IF(AND(L70="Mittellos und stationär",D71&gt;4,D71&lt;=8),141,IF(AND(L70="Mittellos und stationär",D71&gt;2,D71&lt;=4),202,IF(AND(L70="Mittellos und stationär",D71&gt;1,D71&lt;=2),208,IF(AND(L70="Mittellos und stationär",D71&gt;0,D71&lt;=1),317,""))))))))))))))))))))),"")))*3+(J69*90)</f>
        <v>306</v>
      </c>
      <c r="M72" s="507" t="str">
        <f>CONCATENATE(K72, K71)</f>
        <v>+Inflat.-P</v>
      </c>
      <c r="N72" s="206" t="s">
        <v>118</v>
      </c>
      <c r="O72" s="207"/>
      <c r="P72" s="207"/>
      <c r="Q72" s="208"/>
      <c r="R72" s="187"/>
      <c r="S72" s="209" t="s">
        <v>118</v>
      </c>
      <c r="T72" s="201" t="s">
        <v>117</v>
      </c>
      <c r="U72" s="210" t="s">
        <v>26</v>
      </c>
      <c r="V72" s="192"/>
      <c r="W72" s="203"/>
      <c r="X72" s="203"/>
      <c r="Y72" s="210"/>
      <c r="Z72" s="192"/>
      <c r="AA72" s="203"/>
      <c r="AB72" s="203"/>
      <c r="AC72" s="210"/>
      <c r="AD72" s="192"/>
      <c r="AE72" s="203"/>
      <c r="AF72" s="203"/>
      <c r="AG72" s="210"/>
      <c r="AH72" s="193"/>
      <c r="AI72" s="203"/>
      <c r="AJ72" s="203"/>
      <c r="AK72" s="376"/>
      <c r="AL72" s="348" t="s">
        <v>148</v>
      </c>
      <c r="AM72" s="354">
        <f>IF(SUM(N70:N78)=SUM(S70:S78), 0, SUM(N70:N78)-SUM(S70:S78))</f>
        <v>0</v>
      </c>
      <c r="AN72" s="354"/>
      <c r="AO72" s="354"/>
      <c r="AP72" s="354"/>
      <c r="AQ72" s="350">
        <f>AM72+AN72+AO72+AP72</f>
        <v>0</v>
      </c>
      <c r="AR72" s="769"/>
      <c r="AS72" s="769"/>
      <c r="AT72" s="769"/>
      <c r="AW72" s="335"/>
      <c r="AX72" s="335"/>
      <c r="AY72" s="778"/>
      <c r="AZ72" s="335"/>
      <c r="BA72" s="335"/>
      <c r="BB72" s="335"/>
      <c r="BC72" s="335"/>
      <c r="BD72" s="1299"/>
      <c r="BE72" s="335"/>
      <c r="BF72" s="335"/>
      <c r="BG72" s="778"/>
      <c r="BH72" s="335"/>
      <c r="BI72" s="335"/>
      <c r="BJ72" s="335"/>
      <c r="BK72" s="335"/>
      <c r="BM72" s="334"/>
      <c r="BP72" s="335"/>
      <c r="BQ72" s="335"/>
      <c r="BR72" s="335"/>
      <c r="BS72" s="335"/>
      <c r="BT72" s="335"/>
      <c r="BU72" s="335"/>
      <c r="BV72" s="335"/>
      <c r="BW72" s="335"/>
      <c r="BX72" s="335"/>
      <c r="BY72" s="335"/>
      <c r="BZ72" s="335"/>
      <c r="CA72" s="335"/>
      <c r="CB72" s="335"/>
      <c r="CC72" s="335"/>
      <c r="CD72" s="335"/>
      <c r="CE72" s="335"/>
      <c r="CF72" s="335"/>
      <c r="CG72" s="335"/>
      <c r="CH72" s="335"/>
      <c r="CI72" s="335"/>
    </row>
    <row r="73" spans="1:87" ht="22.25" customHeight="1">
      <c r="A73" s="181">
        <f t="shared" ref="A73:A136" si="38">$A72</f>
        <v>45292</v>
      </c>
      <c r="B73" s="484">
        <f>MONTH(I70)</f>
        <v>12</v>
      </c>
      <c r="C73" s="489" t="s">
        <v>158</v>
      </c>
      <c r="D73" s="522">
        <f>D71+1</f>
        <v>10</v>
      </c>
      <c r="E73" s="211">
        <f>DATE(YEAR(E72),MONTH(E72),DAY(E72)+1)</f>
        <v>45381</v>
      </c>
      <c r="F73" s="212">
        <f t="shared" si="35"/>
        <v>30</v>
      </c>
      <c r="G73" s="213">
        <f t="shared" si="36"/>
        <v>3</v>
      </c>
      <c r="H73" s="212">
        <f t="shared" si="37"/>
        <v>2024</v>
      </c>
      <c r="I73" s="214" t="str">
        <f>IF(D70&lt;&gt;0,"-1T","")</f>
        <v>-1T</v>
      </c>
      <c r="J73" s="215">
        <f>DATE($B75,I74,$B71)</f>
        <v>45289</v>
      </c>
      <c r="K73" s="506" t="str">
        <f t="shared" si="19"/>
        <v/>
      </c>
      <c r="L73" s="470"/>
      <c r="M73" s="473" t="str">
        <f ca="1">SUM(J70-E74)&amp;" Tage"</f>
        <v>3 Tage</v>
      </c>
      <c r="N73" s="216"/>
      <c r="O73" s="217"/>
      <c r="P73" s="188"/>
      <c r="Q73" s="217"/>
      <c r="R73" s="189"/>
      <c r="S73" s="190"/>
      <c r="T73" s="190"/>
      <c r="U73" s="191"/>
      <c r="V73" s="192"/>
      <c r="W73" s="190"/>
      <c r="X73" s="190"/>
      <c r="Y73" s="191"/>
      <c r="Z73" s="192"/>
      <c r="AA73" s="190"/>
      <c r="AB73" s="190"/>
      <c r="AC73" s="191"/>
      <c r="AD73" s="192"/>
      <c r="AE73" s="190"/>
      <c r="AF73" s="190"/>
      <c r="AG73" s="191"/>
      <c r="AH73" s="193"/>
      <c r="AI73" s="190"/>
      <c r="AJ73" s="190"/>
      <c r="AK73" s="374"/>
      <c r="AL73" s="348"/>
      <c r="AM73" s="354"/>
      <c r="AN73" s="354"/>
      <c r="AO73" s="354"/>
      <c r="AP73" s="354"/>
      <c r="AQ73" s="350"/>
      <c r="AR73" s="769"/>
      <c r="AS73" s="769"/>
      <c r="AT73" s="769"/>
      <c r="AW73" s="335"/>
      <c r="AX73" s="335"/>
      <c r="AY73" s="778"/>
      <c r="AZ73" s="335"/>
      <c r="BA73" s="335"/>
      <c r="BB73" s="335"/>
      <c r="BC73" s="335"/>
      <c r="BD73" s="1299"/>
      <c r="BE73" s="335"/>
      <c r="BF73" s="335"/>
      <c r="BG73" s="778"/>
      <c r="BH73" s="335"/>
      <c r="BI73" s="335"/>
      <c r="BJ73" s="335"/>
      <c r="BK73" s="335"/>
      <c r="BM73" s="334"/>
      <c r="BP73" s="335"/>
      <c r="BQ73" s="335"/>
      <c r="BR73" s="335"/>
      <c r="BS73" s="335"/>
      <c r="BT73" s="335"/>
      <c r="BU73" s="335"/>
      <c r="BV73" s="335"/>
      <c r="BW73" s="335"/>
      <c r="BX73" s="335"/>
      <c r="BY73" s="335"/>
      <c r="BZ73" s="335"/>
      <c r="CA73" s="335"/>
      <c r="CB73" s="335"/>
      <c r="CC73" s="335"/>
      <c r="CD73" s="335"/>
      <c r="CE73" s="335"/>
      <c r="CF73" s="335"/>
      <c r="CG73" s="335"/>
      <c r="CH73" s="335"/>
      <c r="CI73" s="335"/>
    </row>
    <row r="74" spans="1:87" ht="22.25" customHeight="1">
      <c r="A74" s="181">
        <f t="shared" si="38"/>
        <v>45292</v>
      </c>
      <c r="B74" s="485"/>
      <c r="C74" s="490"/>
      <c r="D74" s="521"/>
      <c r="E74" s="218">
        <f>DATE(YEAR(E73),MONTH(E73)+3,DAY(E73)-1)</f>
        <v>45472</v>
      </c>
      <c r="F74" s="212">
        <f t="shared" si="35"/>
        <v>29</v>
      </c>
      <c r="G74" s="213">
        <f t="shared" si="36"/>
        <v>6</v>
      </c>
      <c r="H74" s="212">
        <f t="shared" si="37"/>
        <v>2024</v>
      </c>
      <c r="I74" s="219">
        <f>MAX(I75:I78)</f>
        <v>12</v>
      </c>
      <c r="J74" s="220">
        <f>DATE(YEAR(J73)+1,MONTH(J73),DAY(J73))</f>
        <v>45655</v>
      </c>
      <c r="K74" s="501" t="str">
        <f t="shared" si="19"/>
        <v>+Inflat.-P</v>
      </c>
      <c r="L74" s="508">
        <f>IF(M69="Stufe A",IF(AND(L70="Auswahl treffen",D73&gt;=0,D73&lt;=1000),J69,IF(AND(L70="Vermögend und ambulant",D73&gt;8,D73&lt;=1000),130,IF(AND(L70="Vermögend und ambulant",D73&gt;4,D73&lt;=8),158,IF(AND(L70="Vermögend und ambulant",D73&gt;2,D73&lt;=4),192,IF(AND(L70="Vermögend und ambulant",D73&gt;1,D73&lt;=2),208,IF(AND(L70="Vermögend und ambulant",D73&gt;0,D73&lt;=1),298,IF(AND(L70="Vermögend und stationär",D73&gt;8,D73&lt;=1000),78,IF(AND(L70="Vermögend und stationär",D73&gt;4,D73&lt;=8),91,IF(AND(L70="Vermögend und stationär",D73&gt;2,D73&lt;=4),140,IF(AND(L70="Vermögend und stationär",D73&gt;1,D73&lt;=2),158,IF(AND(L70="Vermögend und stationär",D73&gt;0,D73&lt;=1),200,IF(AND(L70="Mittellos und ambulant",D73&gt;8,D73&lt;=1000),105,IF(AND(L70="Mittellos und ambulant",D73&gt;4,D73&lt;=8),122,IF(AND(L70="Mittellos und ambulant",D73&gt;2,D73&lt;=4),151,IF(AND(L70="Mittellos und ambulant",D73&gt;1,D73&lt;=2),170,IF(AND(L70="Mittellos und ambulant",D73&gt;0,D73&lt;=1),208,IF(AND(L70="Mittellos und stationär",D73&gt;8,D73&lt;=1000),62,IF(AND(L70="Mittellos und stationär",D73&gt;4,D73&lt;=8),87,IF(AND(L70="Mittellos und stationär",D73&gt;2,D73&lt;=4),124,IF(AND(L70="Mittellos und stationär",D73&gt;1,D73&lt;=2),129,IF(AND(L70="Mittellos und stationär",D73&gt;0,D73&lt;=1),194,""))))))))))))))))))))),IF(M69="Stufe B",IF(AND(L70="Auswahl treffen",D73&gt;=0,D73&lt;=1000),J69,IF(AND(L70="Vermögend und ambulant",D73&gt;8,D73&lt;=1000),161,IF(AND(L70="Vermögend und ambulant",D73&gt;4,D73&lt;=8),196,IF(AND(L70="Vermögend und ambulant",D73&gt;2,D73&lt;=4),238,IF(AND(L70="Vermögend und ambulant",D73&gt;1,D73&lt;=2),258,IF(AND(L70="Vermögend und ambulant",D73&gt;0,D73&lt;=1),370,IF(AND(L70="Vermögend und stationär",D73&gt;8,D73&lt;=1000),96,IF(AND(L70="Vermögend und stationär",D73&gt;4,D73&lt;=8),113,IF(AND(L70="Vermögend und stationär",D73&gt;2,D73&lt;=4),174,IF(AND(L70="Vermögend und stationär",D73&gt;1,D73&lt;=2),196,IF(AND(L70="Vermögend und stationär",D73&gt;0,D73&lt;=1),249,IF(AND(L70="Mittellos und ambulant",D73&gt;8,D73&lt;=1000),130,IF(AND(L70="Mittellos und ambulant",D73&gt;4,D73&lt;=8),151,IF(AND(L70="Mittellos und ambulant",D73&gt;2,D73&lt;=4),188,IF(AND(L70="Mittellos und ambulant",D73&gt;1,D73&lt;=2),211,IF(AND(L70="Mittellos und ambulant",D73&gt;0,D73&lt;=1),258,IF(AND(L70="Mittellos und stationär",D73&gt;8,D73&lt;=1000),78,IF(AND(L70="Mittellos und stationär",D73&gt;4,D73&lt;=8),107,IF(AND(L70="Mittellos und stationär",D73&gt;2,D73&lt;=4),154,IF(AND(L70="Mittellos und stationär",D73&gt;1,D73&lt;=2),158,IF(AND(L70="Mittellos und stationär",D73&gt;0,D73&lt;=1),241,""))))))))))))))))))))),IF(M69="Stufe C",IF(AND(L70="Auswahl treffen",D73&gt;=0,D73&lt;=1000),J69,IF(AND(L70="Vermögend und ambulant",D73&gt;8,D73&lt;=1000),211,IF(AND(L70="Vermögend und ambulant",D73&gt;4,D73&lt;=8),257,IF(AND(L70="Vermögend und ambulant",D73&gt;2,D73&lt;=4),312,IF(AND(L70="Vermögend und ambulant",D73&gt;1,D73&lt;=2),339,IF(AND(L70="Vermögend und ambulant",D73&gt;0,D73&lt;=1),486,IF(AND(L70="Vermögend und stationär",D73&gt;8,D73&lt;=1000),127,IF(AND(L70="Vermögend und stationär",D73&gt;4,D73&lt;=8),149,IF(AND(L70="Vermögend und stationär",D73&gt;2,D73&lt;=4),229,IF(AND(L70="Vermögend und stationär",D73&gt;1,D73&lt;=2),257,IF(AND(L70="Vermögend und stationär",D73&gt;0,D73&lt;=1),327,IF(AND(L70="Mittellos und ambulant",D73&gt;8,D73&lt;=1000),171,IF(AND(L70="Mittellos und ambulant",D73&gt;4,D73&lt;=8),198,IF(AND(L70="Mittellos und ambulant",D73&gt;2,D73&lt;=4),246,IF(AND(L70="Mittellos und ambulant",D73&gt;1,D73&lt;=2),277,IF(AND(L70="Mittellos und ambulant",D73&gt;0,D73&lt;=1),339,IF(AND(L70="Mittellos und stationär",D73&gt;8,D73&lt;=1000),102,IF(AND(L70="Mittellos und stationär",D73&gt;4,D73&lt;=8),141,IF(AND(L70="Mittellos und stationär",D73&gt;2,D73&lt;=4),202,IF(AND(L70="Mittellos und stationär",D73&gt;1,D73&lt;=2),208,IF(AND(L70="Mittellos und stationär",D73&gt;0,D73&lt;=1),317,""))))))))))))))))))))),"")))*3+(J69*90)</f>
        <v>306</v>
      </c>
      <c r="M74" s="507" t="str">
        <f>CONCATENATE(K74, K73)</f>
        <v>+Inflat.-P</v>
      </c>
      <c r="N74" s="216"/>
      <c r="O74" s="188" t="s">
        <v>118</v>
      </c>
      <c r="P74" s="188"/>
      <c r="Q74" s="221"/>
      <c r="R74" s="199"/>
      <c r="S74" s="190"/>
      <c r="T74" s="190"/>
      <c r="U74" s="191"/>
      <c r="V74" s="192"/>
      <c r="W74" s="222" t="s">
        <v>118</v>
      </c>
      <c r="X74" s="222" t="s">
        <v>117</v>
      </c>
      <c r="Y74" s="191" t="s">
        <v>26</v>
      </c>
      <c r="Z74" s="192"/>
      <c r="AA74" s="190"/>
      <c r="AB74" s="190"/>
      <c r="AC74" s="191"/>
      <c r="AD74" s="192"/>
      <c r="AE74" s="190"/>
      <c r="AF74" s="190"/>
      <c r="AG74" s="191"/>
      <c r="AH74" s="193"/>
      <c r="AI74" s="190"/>
      <c r="AJ74" s="190"/>
      <c r="AK74" s="374"/>
      <c r="AL74" s="348" t="s">
        <v>149</v>
      </c>
      <c r="AM74" s="354"/>
      <c r="AN74" s="354">
        <f>IF(SUM(O70:O78)=SUM(W70:W78), 0, SUM(O70:O78)-SUM(W70:W78))</f>
        <v>0</v>
      </c>
      <c r="AO74" s="354"/>
      <c r="AP74" s="354"/>
      <c r="AQ74" s="350">
        <f>AM74+AN74+AO74+AP74</f>
        <v>0</v>
      </c>
      <c r="AR74" s="769"/>
      <c r="AS74" s="769"/>
      <c r="AT74" s="769"/>
      <c r="AW74" s="335"/>
      <c r="AX74" s="335"/>
      <c r="AY74" s="778"/>
      <c r="AZ74" s="335"/>
      <c r="BA74" s="335"/>
      <c r="BB74" s="335"/>
      <c r="BC74" s="335"/>
      <c r="BD74" s="1299"/>
      <c r="BE74" s="335"/>
      <c r="BF74" s="335"/>
      <c r="BG74" s="778"/>
      <c r="BH74" s="335"/>
      <c r="BI74" s="335"/>
      <c r="BJ74" s="335"/>
      <c r="BK74" s="335"/>
      <c r="BM74" s="334"/>
      <c r="BP74" s="335"/>
      <c r="BQ74" s="335"/>
      <c r="BR74" s="335"/>
      <c r="BS74" s="335"/>
      <c r="BT74" s="335"/>
      <c r="BU74" s="335"/>
      <c r="BV74" s="335"/>
      <c r="BW74" s="335"/>
      <c r="BX74" s="335"/>
      <c r="BY74" s="335"/>
      <c r="BZ74" s="335"/>
      <c r="CA74" s="335"/>
      <c r="CB74" s="335"/>
      <c r="CC74" s="335"/>
      <c r="CD74" s="335"/>
      <c r="CE74" s="335"/>
      <c r="CF74" s="335"/>
      <c r="CG74" s="335"/>
      <c r="CH74" s="335"/>
      <c r="CI74" s="335"/>
    </row>
    <row r="75" spans="1:87" ht="22.25" customHeight="1">
      <c r="A75" s="181">
        <f t="shared" si="38"/>
        <v>45292</v>
      </c>
      <c r="B75" s="484">
        <f>YEAR($A76)-1</f>
        <v>2023</v>
      </c>
      <c r="C75" s="489" t="s">
        <v>158</v>
      </c>
      <c r="D75" s="520">
        <f>D73+1</f>
        <v>11</v>
      </c>
      <c r="E75" s="194">
        <f>DATE(YEAR(E74),MONTH(E74),DAY(E74)+1)</f>
        <v>45473</v>
      </c>
      <c r="F75" s="195">
        <f t="shared" si="35"/>
        <v>30</v>
      </c>
      <c r="G75" s="196">
        <f t="shared" si="36"/>
        <v>6</v>
      </c>
      <c r="H75" s="195">
        <f t="shared" si="37"/>
        <v>2024</v>
      </c>
      <c r="I75" s="223" t="str">
        <f>IF(J77&lt;13,J77,"")</f>
        <v/>
      </c>
      <c r="J75" s="224">
        <f>G70</f>
        <v>12</v>
      </c>
      <c r="K75" s="501" t="str">
        <f t="shared" si="19"/>
        <v/>
      </c>
      <c r="L75" s="471"/>
      <c r="M75" s="473" t="str">
        <f ca="1">SUM(J70-E76)&amp;" Tage"</f>
        <v>-89 Tage</v>
      </c>
      <c r="N75" s="200"/>
      <c r="O75" s="201"/>
      <c r="P75" s="201"/>
      <c r="Q75" s="202"/>
      <c r="R75" s="189"/>
      <c r="S75" s="203"/>
      <c r="T75" s="203"/>
      <c r="U75" s="204"/>
      <c r="V75" s="192"/>
      <c r="W75" s="203"/>
      <c r="X75" s="203"/>
      <c r="Y75" s="204"/>
      <c r="Z75" s="192"/>
      <c r="AA75" s="203"/>
      <c r="AB75" s="203"/>
      <c r="AC75" s="204"/>
      <c r="AD75" s="192"/>
      <c r="AE75" s="203"/>
      <c r="AF75" s="203"/>
      <c r="AG75" s="204"/>
      <c r="AH75" s="193"/>
      <c r="AI75" s="203"/>
      <c r="AJ75" s="203"/>
      <c r="AK75" s="375"/>
      <c r="AL75" s="348"/>
      <c r="AM75" s="354"/>
      <c r="AN75" s="354"/>
      <c r="AO75" s="354"/>
      <c r="AP75" s="354"/>
      <c r="AQ75" s="350"/>
      <c r="AR75" s="769"/>
      <c r="AS75" s="769"/>
      <c r="AT75" s="769"/>
      <c r="AW75" s="335"/>
      <c r="AX75" s="335"/>
      <c r="AY75" s="778"/>
      <c r="AZ75" s="335"/>
      <c r="BA75" s="335"/>
      <c r="BB75" s="335"/>
      <c r="BC75" s="335"/>
      <c r="BD75" s="1299"/>
      <c r="BE75" s="335"/>
      <c r="BF75" s="335"/>
      <c r="BG75" s="778"/>
      <c r="BH75" s="335"/>
      <c r="BI75" s="335"/>
      <c r="BJ75" s="335"/>
      <c r="BK75" s="335"/>
      <c r="BM75" s="334"/>
      <c r="BP75" s="335"/>
      <c r="BQ75" s="335"/>
      <c r="BR75" s="335"/>
      <c r="BS75" s="335"/>
      <c r="BT75" s="335"/>
      <c r="BU75" s="335"/>
      <c r="BV75" s="335"/>
      <c r="BW75" s="335"/>
      <c r="BX75" s="335"/>
      <c r="BY75" s="335"/>
      <c r="BZ75" s="335"/>
      <c r="CA75" s="335"/>
      <c r="CB75" s="335"/>
      <c r="CC75" s="335"/>
      <c r="CD75" s="335"/>
      <c r="CE75" s="335"/>
      <c r="CF75" s="335"/>
      <c r="CG75" s="335"/>
      <c r="CH75" s="335"/>
      <c r="CI75" s="335"/>
    </row>
    <row r="76" spans="1:87" ht="22.25" customHeight="1">
      <c r="A76" s="181">
        <f t="shared" si="38"/>
        <v>45292</v>
      </c>
      <c r="B76" s="485"/>
      <c r="C76" s="490"/>
      <c r="D76" s="521"/>
      <c r="E76" s="194">
        <f>DATE(YEAR(E75),MONTH(E75)+3,DAY(E75)-1)</f>
        <v>45564</v>
      </c>
      <c r="F76" s="195">
        <f t="shared" si="35"/>
        <v>29</v>
      </c>
      <c r="G76" s="196">
        <f t="shared" si="36"/>
        <v>9</v>
      </c>
      <c r="H76" s="195">
        <f t="shared" si="37"/>
        <v>2024</v>
      </c>
      <c r="I76" s="225" t="str">
        <f>IF(J78&lt;13,J78,"")</f>
        <v/>
      </c>
      <c r="J76" s="224">
        <f>J75+3</f>
        <v>15</v>
      </c>
      <c r="K76" s="506" t="str">
        <f t="shared" si="19"/>
        <v>+Inflat.-P</v>
      </c>
      <c r="L76" s="511">
        <f>IF(M69="Stufe A",IF(AND(L70="Auswahl treffen",D75&gt;=0,D75&lt;=1000),J69,IF(AND(L70="Vermögend und ambulant",D75&gt;8,D75&lt;=1000),130,IF(AND(L70="Vermögend und ambulant",D75&gt;4,D75&lt;=8),158,IF(AND(L70="Vermögend und ambulant",D75&gt;2,D75&lt;=4),192,IF(AND(L70="Vermögend und ambulant",D75&gt;1,D75&lt;=2),208,IF(AND(L70="Vermögend und ambulant",D75&gt;0,D75&lt;=1),298,IF(AND(L70="Vermögend und stationär",D75&gt;8,D75&lt;=1000),78,IF(AND(L70="Vermögend und stationär",D75&gt;4,D75&lt;=8),91,IF(AND(L70="Vermögend und stationär",D75&gt;2,D75&lt;=4),140,IF(AND(L70="Vermögend und stationär",D75&gt;1,D75&lt;=2),158,IF(AND(L70="Vermögend und stationär",D75&gt;0,D75&lt;=1),200,IF(AND(L70="Mittellos und ambulant",D75&gt;8,D75&lt;=1000),105,IF(AND(L70="Mittellos und ambulant",D75&gt;4,D75&lt;=8),122,IF(AND(L70="Mittellos und ambulant",D75&gt;2,D75&lt;=4),151,IF(AND(L70="Mittellos und ambulant",D75&gt;1,D75&lt;=2),170,IF(AND(L70="Mittellos und ambulant",D75&gt;0,D75&lt;=1),208,IF(AND(L70="Mittellos und stationär",D75&gt;8,D75&lt;=1000),62,IF(AND(L70="Mittellos und stationär",D75&gt;4,D75&lt;=8),87,IF(AND(L70="Mittellos und stationär",D75&gt;2,D75&lt;=4),124,IF(AND(L70="Mittellos und stationär",D75&gt;1,D75&lt;=2),129,IF(AND(L70="Mittellos und stationär",D75&gt;0,D75&lt;=1),194,""))))))))))))))))))))),IF(M69="Stufe B",IF(AND(L70="Auswahl treffen",D75&gt;=0,D75&lt;=1000),J69,IF(AND(L70="Vermögend und ambulant",D75&gt;8,D75&lt;=1000),161,IF(AND(L70="Vermögend und ambulant",D75&gt;4,D75&lt;=8),196,IF(AND(L70="Vermögend und ambulant",D75&gt;2,D75&lt;=4),238,IF(AND(L70="Vermögend und ambulant",D75&gt;1,D75&lt;=2),258,IF(AND(L70="Vermögend und ambulant",D75&gt;0,D75&lt;=1),370,IF(AND(L70="Vermögend und stationär",D75&gt;8,D75&lt;=1000),96,IF(AND(L70="Vermögend und stationär",D75&gt;4,D75&lt;=8),113,IF(AND(L70="Vermögend und stationär",D75&gt;2,D75&lt;=4),174,IF(AND(L70="Vermögend und stationär",D75&gt;1,D75&lt;=2),196,IF(AND(L70="Vermögend und stationär",D75&gt;0,D75&lt;=1),249,IF(AND(L70="Mittellos und ambulant",D75&gt;8,D75&lt;=1000),130,IF(AND(L70="Mittellos und ambulant",D75&gt;4,D75&lt;=8),151,IF(AND(L70="Mittellos und ambulant",D75&gt;2,D75&lt;=4),188,IF(AND(L70="Mittellos und ambulant",D75&gt;1,D75&lt;=2),211,IF(AND(L70="Mittellos und ambulant",D75&gt;0,D75&lt;=1),258,IF(AND(L70="Mittellos und stationär",D75&gt;8,D75&lt;=1000),78,IF(AND(L70="Mittellos und stationär",D75&gt;4,D75&lt;=8),107,IF(AND(L70="Mittellos und stationär",D75&gt;2,D75&lt;=4),154,IF(AND(L70="Mittellos und stationär",D75&gt;1,D75&lt;=2),158,IF(AND(L70="Mittellos und stationär",D75&gt;0,D75&lt;=1),241,""))))))))))))))))))))),IF(M69="Stufe C",IF(AND(L70="Auswahl treffen",D75&gt;=0,D75&lt;=1000),J69,IF(AND(L70="Vermögend und ambulant",D75&gt;8,D75&lt;=1000),211,IF(AND(L70="Vermögend und ambulant",D75&gt;4,D75&lt;=8),257,IF(AND(L70="Vermögend und ambulant",D75&gt;2,D75&lt;=4),312,IF(AND(L70="Vermögend und ambulant",D75&gt;1,D75&lt;=2),339,IF(AND(L70="Vermögend und ambulant",D75&gt;0,D75&lt;=1),486,IF(AND(L70="Vermögend und stationär",D75&gt;8,D75&lt;=1000),127,IF(AND(L70="Vermögend und stationär",D75&gt;4,D75&lt;=8),149,IF(AND(L70="Vermögend und stationär",D75&gt;2,D75&lt;=4),229,IF(AND(L70="Vermögend und stationär",D75&gt;1,D75&lt;=2),257,IF(AND(L70="Vermögend und stationär",D75&gt;0,D75&lt;=1),327,IF(AND(L70="Mittellos und ambulant",D75&gt;8,D75&lt;=1000),171,IF(AND(L70="Mittellos und ambulant",D75&gt;4,D75&lt;=8),198,IF(AND(L70="Mittellos und ambulant",D75&gt;2,D75&lt;=4),246,IF(AND(L70="Mittellos und ambulant",D75&gt;1,D75&lt;=2),277,IF(AND(L70="Mittellos und ambulant",D75&gt;0,D75&lt;=1),339,IF(AND(L70="Mittellos und stationär",D75&gt;8,D75&lt;=1000),102,IF(AND(L70="Mittellos und stationär",D75&gt;4,D75&lt;=8),141,IF(AND(L70="Mittellos und stationär",D75&gt;2,D75&lt;=4),202,IF(AND(L70="Mittellos und stationär",D75&gt;1,D75&lt;=2),208,IF(AND(L70="Mittellos und stationär",D75&gt;0,D75&lt;=1),317,""))))))))))))))))))))),"")))*3+(J69*90)</f>
        <v>306</v>
      </c>
      <c r="M76" s="507" t="str">
        <f>CONCATENATE(K76, K75)</f>
        <v>+Inflat.-P</v>
      </c>
      <c r="N76" s="206"/>
      <c r="O76" s="207"/>
      <c r="P76" s="206" t="s">
        <v>118</v>
      </c>
      <c r="Q76" s="226"/>
      <c r="R76" s="189"/>
      <c r="S76" s="203"/>
      <c r="T76" s="203"/>
      <c r="U76" s="204"/>
      <c r="V76" s="192"/>
      <c r="W76" s="203"/>
      <c r="X76" s="203"/>
      <c r="Y76" s="204"/>
      <c r="Z76" s="192"/>
      <c r="AA76" s="209" t="s">
        <v>118</v>
      </c>
      <c r="AB76" s="209" t="s">
        <v>117</v>
      </c>
      <c r="AC76" s="204" t="s">
        <v>26</v>
      </c>
      <c r="AD76" s="192"/>
      <c r="AE76" s="203"/>
      <c r="AF76" s="203"/>
      <c r="AG76" s="204"/>
      <c r="AH76" s="193"/>
      <c r="AI76" s="203"/>
      <c r="AJ76" s="203"/>
      <c r="AK76" s="375"/>
      <c r="AL76" s="348" t="s">
        <v>150</v>
      </c>
      <c r="AM76" s="354"/>
      <c r="AN76" s="354"/>
      <c r="AO76" s="354">
        <f>IF(SUM(P70:P78)=SUM(AA70:AA78), 0, SUM(P70:P78)-SUM(AA70:AA78))</f>
        <v>0</v>
      </c>
      <c r="AP76" s="354"/>
      <c r="AQ76" s="350">
        <f>AM76+AN76+AO76+AP76</f>
        <v>0</v>
      </c>
      <c r="AR76" s="769"/>
      <c r="AS76" s="769"/>
      <c r="AT76" s="769"/>
      <c r="AW76" s="335"/>
      <c r="AX76" s="335"/>
      <c r="AY76" s="778"/>
      <c r="AZ76" s="335"/>
      <c r="BA76" s="335"/>
      <c r="BB76" s="335"/>
      <c r="BC76" s="335"/>
      <c r="BD76" s="1299"/>
      <c r="BE76" s="335"/>
      <c r="BF76" s="335"/>
      <c r="BG76" s="778"/>
      <c r="BH76" s="335"/>
      <c r="BI76" s="335"/>
      <c r="BJ76" s="335"/>
      <c r="BK76" s="335"/>
      <c r="BM76" s="334"/>
      <c r="BP76" s="335"/>
      <c r="BQ76" s="335"/>
      <c r="BR76" s="335"/>
      <c r="BS76" s="335"/>
      <c r="BT76" s="335"/>
      <c r="BU76" s="335"/>
      <c r="BV76" s="335"/>
      <c r="BW76" s="335"/>
      <c r="BX76" s="335"/>
      <c r="BY76" s="335"/>
      <c r="BZ76" s="335"/>
      <c r="CA76" s="335"/>
      <c r="CB76" s="335"/>
      <c r="CC76" s="335"/>
      <c r="CD76" s="335"/>
      <c r="CE76" s="335"/>
      <c r="CF76" s="335"/>
      <c r="CG76" s="335"/>
      <c r="CH76" s="335"/>
      <c r="CI76" s="335"/>
    </row>
    <row r="77" spans="1:87" ht="22.25" customHeight="1">
      <c r="A77" s="181">
        <f t="shared" si="38"/>
        <v>45292</v>
      </c>
      <c r="B77" s="486"/>
      <c r="C77" s="489" t="s">
        <v>158</v>
      </c>
      <c r="D77" s="522">
        <f>D75+1</f>
        <v>12</v>
      </c>
      <c r="E77" s="211">
        <f>DATE(YEAR(E76),MONTH(E76),DAY(E76)+1)</f>
        <v>45565</v>
      </c>
      <c r="F77" s="227">
        <f t="shared" si="35"/>
        <v>30</v>
      </c>
      <c r="G77" s="228">
        <f t="shared" si="36"/>
        <v>9</v>
      </c>
      <c r="H77" s="227">
        <f t="shared" si="37"/>
        <v>2024</v>
      </c>
      <c r="I77" s="229" t="str">
        <f>IF(J76&lt;13,J76,"")</f>
        <v/>
      </c>
      <c r="J77" s="230">
        <f>J78+3</f>
        <v>21</v>
      </c>
      <c r="K77" s="501" t="str">
        <f t="shared" si="19"/>
        <v/>
      </c>
      <c r="L77" s="471"/>
      <c r="M77" s="473" t="str">
        <f ca="1">SUM(J70-E78)&amp;" Tage"</f>
        <v>-180 Tage</v>
      </c>
      <c r="N77" s="216"/>
      <c r="O77" s="188"/>
      <c r="P77" s="188"/>
      <c r="Q77" s="217"/>
      <c r="R77" s="189"/>
      <c r="S77" s="190"/>
      <c r="T77" s="190"/>
      <c r="U77" s="191"/>
      <c r="V77" s="192"/>
      <c r="W77" s="190"/>
      <c r="X77" s="190"/>
      <c r="Y77" s="191"/>
      <c r="Z77" s="192"/>
      <c r="AA77" s="190"/>
      <c r="AB77" s="190"/>
      <c r="AC77" s="191"/>
      <c r="AD77" s="192"/>
      <c r="AE77" s="190"/>
      <c r="AF77" s="190"/>
      <c r="AG77" s="191"/>
      <c r="AH77" s="193"/>
      <c r="AI77" s="190"/>
      <c r="AJ77" s="190"/>
      <c r="AK77" s="374"/>
      <c r="AL77" s="348"/>
      <c r="AM77" s="354"/>
      <c r="AN77" s="354"/>
      <c r="AO77" s="354"/>
      <c r="AP77" s="354"/>
      <c r="AQ77" s="350"/>
      <c r="AR77" s="769"/>
      <c r="AS77" s="769"/>
      <c r="AT77" s="769"/>
      <c r="AW77" s="335"/>
      <c r="AX77" s="335"/>
      <c r="AY77" s="778"/>
      <c r="AZ77" s="335"/>
      <c r="BA77" s="335"/>
      <c r="BB77" s="335"/>
      <c r="BC77" s="335"/>
      <c r="BD77" s="1299"/>
      <c r="BE77" s="335"/>
      <c r="BF77" s="335"/>
      <c r="BG77" s="778"/>
      <c r="BH77" s="335"/>
      <c r="BI77" s="335"/>
      <c r="BJ77" s="335"/>
      <c r="BK77" s="335"/>
      <c r="BM77" s="334"/>
      <c r="BP77" s="335"/>
      <c r="BQ77" s="335"/>
      <c r="BR77" s="335"/>
      <c r="BS77" s="335"/>
      <c r="BT77" s="335"/>
      <c r="BU77" s="335"/>
      <c r="BV77" s="335"/>
      <c r="BW77" s="335"/>
      <c r="BX77" s="335"/>
      <c r="BY77" s="335"/>
      <c r="BZ77" s="335"/>
      <c r="CA77" s="335"/>
      <c r="CB77" s="335"/>
      <c r="CC77" s="335"/>
      <c r="CD77" s="335"/>
      <c r="CE77" s="335"/>
      <c r="CF77" s="335"/>
      <c r="CG77" s="335"/>
      <c r="CH77" s="335"/>
      <c r="CI77" s="335"/>
    </row>
    <row r="78" spans="1:87" ht="22.25" customHeight="1">
      <c r="A78" s="181">
        <f t="shared" si="38"/>
        <v>45292</v>
      </c>
      <c r="B78" s="485"/>
      <c r="C78" s="490"/>
      <c r="D78" s="521"/>
      <c r="E78" s="218">
        <f>DATE(YEAR(E77),MONTH(E77)+3,DAY(E77)-1)</f>
        <v>45655</v>
      </c>
      <c r="F78" s="227">
        <f t="shared" si="35"/>
        <v>29</v>
      </c>
      <c r="G78" s="228">
        <f t="shared" si="36"/>
        <v>12</v>
      </c>
      <c r="H78" s="227">
        <f t="shared" si="37"/>
        <v>2024</v>
      </c>
      <c r="I78" s="231">
        <f>IF(J75&lt;13,J75,"")</f>
        <v>12</v>
      </c>
      <c r="J78" s="230">
        <f>J76+3</f>
        <v>18</v>
      </c>
      <c r="K78" s="506" t="str">
        <f t="shared" ref="K78:K140" si="39">K76</f>
        <v>+Inflat.-P</v>
      </c>
      <c r="L78" s="508">
        <f>IF(M69="Stufe A",IF(AND(L70="Auswahl treffen",D77&gt;=0,D77&lt;=1000),J69,IF(AND(L70="Vermögend und ambulant",D77&gt;8,D77&lt;=1000),130,IF(AND(L70="Vermögend und ambulant",D77&gt;4,D77&lt;=8),158,IF(AND(L70="Vermögend und ambulant",D77&gt;2,D77&lt;=4),192,IF(AND(L70="Vermögend und ambulant",D77&gt;1,D77&lt;=2),208,IF(AND(L70="Vermögend und ambulant",D77&gt;0,D77&lt;=1),298,IF(AND(L70="Vermögend und stationär",D77&gt;8,D77&lt;=1000),78,IF(AND(L70="Vermögend und stationär",D77&gt;4,D77&lt;=8),91,IF(AND(L70="Vermögend und stationär",D77&gt;2,D77&lt;=4),140,IF(AND(L70="Vermögend und stationär",D77&gt;1,D77&lt;=2),158,IF(AND(L70="Vermögend und stationär",D77&gt;0,D77&lt;=1),200,IF(AND(L70="Mittellos und ambulant",D77&gt;8,D77&lt;=1000),105,IF(AND(L70="Mittellos und ambulant",D77&gt;4,D77&lt;=8),122,IF(AND(L70="Mittellos und ambulant",D77&gt;2,D77&lt;=4),151,IF(AND(L70="Mittellos und ambulant",D77&gt;1,D77&lt;=2),170,IF(AND(L70="Mittellos und ambulant",D77&gt;0,D77&lt;=1),208,IF(AND(L70="Mittellos und stationär",D77&gt;8,D77&lt;=1000),62,IF(AND(L70="Mittellos und stationär",D77&gt;4,D77&lt;=8),87,IF(AND(L70="Mittellos und stationär",D77&gt;2,D77&lt;=4),124,IF(AND(L70="Mittellos und stationär",D77&gt;1,D77&lt;=2),129,IF(AND(L70="Mittellos und stationär",D77&gt;0,D77&lt;=1),194,""))))))))))))))))))))),IF(M69="Stufe B",IF(AND(L70="Auswahl treffen",D77&gt;=0,D77&lt;=1000),J69,IF(AND(L70="Vermögend und ambulant",D77&gt;8,D77&lt;=1000),161,IF(AND(L70="Vermögend und ambulant",D77&gt;4,D77&lt;=8),196,IF(AND(L70="Vermögend und ambulant",D77&gt;2,D77&lt;=4),238,IF(AND(L70="Vermögend und ambulant",D77&gt;1,D77&lt;=2),258,IF(AND(L70="Vermögend und ambulant",D77&gt;0,D77&lt;=1),370,IF(AND(L70="Vermögend und stationär",D77&gt;8,D77&lt;=1000),96,IF(AND(L70="Vermögend und stationär",D77&gt;4,D77&lt;=8),113,IF(AND(L70="Vermögend und stationär",D77&gt;2,D77&lt;=4),174,IF(AND(L70="Vermögend und stationär",D77&gt;1,D77&lt;=2),196,IF(AND(L70="Vermögend und stationär",D77&gt;0,D77&lt;=1),249,IF(AND(L70="Mittellos und ambulant",D77&gt;8,D77&lt;=1000),130,IF(AND(L70="Mittellos und ambulant",D77&gt;4,D77&lt;=8),151,IF(AND(L70="Mittellos und ambulant",D77&gt;2,D77&lt;=4),188,IF(AND(L70="Mittellos und ambulant",D77&gt;1,D77&lt;=2),211,IF(AND(L70="Mittellos und ambulant",D77&gt;0,D77&lt;=1),258,IF(AND(L70="Mittellos und stationär",D77&gt;8,D77&lt;=1000),78,IF(AND(L70="Mittellos und stationär",D77&gt;4,D77&lt;=8),107,IF(AND(L70="Mittellos und stationär",D77&gt;2,D77&lt;=4),154,IF(AND(L70="Mittellos und stationär",D77&gt;1,D77&lt;=2),158,IF(AND(L70="Mittellos und stationär",D77&gt;0,D77&lt;=1),241,""))))))))))))))))))))),IF(M69="Stufe C",IF(AND(L70="Auswahl treffen",D77&gt;=0,D77&lt;=1000),J69,IF(AND(L70="Vermögend und ambulant",D77&gt;8,D77&lt;=1000),211,IF(AND(L70="Vermögend und ambulant",D77&gt;4,D77&lt;=8),257,IF(AND(L70="Vermögend und ambulant",D77&gt;2,D77&lt;=4),312,IF(AND(L70="Vermögend und ambulant",D77&gt;1,D77&lt;=2),339,IF(AND(L70="Vermögend und ambulant",D77&gt;0,D77&lt;=1),486,IF(AND(L70="Vermögend und stationär",D77&gt;8,D77&lt;=1000),127,IF(AND(L70="Vermögend und stationär",D77&gt;4,D77&lt;=8),149,IF(AND(L70="Vermögend und stationär",D77&gt;2,D77&lt;=4),229,IF(AND(L70="Vermögend und stationär",D77&gt;1,D77&lt;=2),257,IF(AND(L70="Vermögend und stationär",D77&gt;0,D77&lt;=1),327,IF(AND(L70="Mittellos und ambulant",D77&gt;8,D77&lt;=1000),171,IF(AND(L70="Mittellos und ambulant",D77&gt;4,D77&lt;=8),198,IF(AND(L70="Mittellos und ambulant",D77&gt;2,D77&lt;=4),246,IF(AND(L70="Mittellos und ambulant",D77&gt;1,D77&lt;=2),277,IF(AND(L70="Mittellos und ambulant",D77&gt;0,D77&lt;=1),339,IF(AND(L70="Mittellos und stationär",D77&gt;8,D77&lt;=1000),102,IF(AND(L70="Mittellos und stationär",D77&gt;4,D77&lt;=8),141,IF(AND(L70="Mittellos und stationär",D77&gt;2,D77&lt;=4),202,IF(AND(L70="Mittellos und stationär",D77&gt;1,D77&lt;=2),208,IF(AND(L70="Mittellos und stationär",D77&gt;0,D77&lt;=1),317,""))))))))))))))))))))),"")))*3+(J69*90)</f>
        <v>306</v>
      </c>
      <c r="M78" s="507" t="str">
        <f>CONCATENATE(K78, K77)</f>
        <v>+Inflat.-P</v>
      </c>
      <c r="N78" s="216"/>
      <c r="O78" s="188"/>
      <c r="P78" s="188"/>
      <c r="Q78" s="217" t="s">
        <v>118</v>
      </c>
      <c r="R78" s="189"/>
      <c r="S78" s="190"/>
      <c r="T78" s="190"/>
      <c r="U78" s="191"/>
      <c r="V78" s="192"/>
      <c r="W78" s="190"/>
      <c r="X78" s="190"/>
      <c r="Y78" s="191"/>
      <c r="Z78" s="192"/>
      <c r="AA78" s="190"/>
      <c r="AB78" s="190"/>
      <c r="AC78" s="191"/>
      <c r="AD78" s="192"/>
      <c r="AE78" s="190" t="s">
        <v>118</v>
      </c>
      <c r="AF78" s="190" t="s">
        <v>117</v>
      </c>
      <c r="AG78" s="191" t="s">
        <v>26</v>
      </c>
      <c r="AH78" s="193"/>
      <c r="AI78" s="190" t="s">
        <v>118</v>
      </c>
      <c r="AJ78" s="190" t="s">
        <v>117</v>
      </c>
      <c r="AK78" s="374" t="s">
        <v>26</v>
      </c>
      <c r="AL78" s="348" t="s">
        <v>151</v>
      </c>
      <c r="AM78" s="354"/>
      <c r="AN78" s="354"/>
      <c r="AO78" s="354"/>
      <c r="AP78" s="354">
        <f>IF(SUM(Q70:Q78)=SUM(AE70:AE78,AI70:AI78), 0, SUM(Q70:Q78)-SUM(AE70:AE78,AI70:AI78))</f>
        <v>0</v>
      </c>
      <c r="AQ78" s="350">
        <f>AM78+AN78+AO78+AP78</f>
        <v>0</v>
      </c>
      <c r="AR78" s="769"/>
      <c r="AS78" s="769"/>
      <c r="AT78" s="769"/>
      <c r="AW78" s="335"/>
      <c r="AX78" s="335"/>
      <c r="AY78" s="778"/>
      <c r="AZ78" s="335"/>
      <c r="BA78" s="335"/>
      <c r="BB78" s="335"/>
      <c r="BC78" s="335"/>
      <c r="BD78" s="1299"/>
      <c r="BE78" s="335"/>
      <c r="BF78" s="335"/>
      <c r="BG78" s="778"/>
      <c r="BH78" s="335"/>
      <c r="BI78" s="335"/>
      <c r="BJ78" s="335"/>
      <c r="BK78" s="335"/>
      <c r="BM78" s="334"/>
      <c r="BP78" s="335"/>
      <c r="BQ78" s="335"/>
      <c r="BR78" s="335"/>
      <c r="BS78" s="335"/>
      <c r="BT78" s="335"/>
      <c r="BU78" s="335"/>
      <c r="BV78" s="335"/>
      <c r="BW78" s="335"/>
      <c r="BX78" s="335"/>
      <c r="BY78" s="335"/>
      <c r="BZ78" s="335"/>
      <c r="CA78" s="335"/>
      <c r="CB78" s="335"/>
      <c r="CC78" s="335"/>
      <c r="CD78" s="335"/>
      <c r="CE78" s="335"/>
      <c r="CF78" s="335"/>
      <c r="CG78" s="335"/>
      <c r="CH78" s="335"/>
      <c r="CI78" s="335"/>
    </row>
    <row r="79" spans="1:87" ht="22" customHeight="1">
      <c r="A79" s="181">
        <f t="shared" si="38"/>
        <v>45292</v>
      </c>
      <c r="B79" s="232" t="s">
        <v>74</v>
      </c>
      <c r="C79" s="233" t="s">
        <v>75</v>
      </c>
      <c r="D79" s="234" t="s">
        <v>76</v>
      </c>
      <c r="E79" s="235" t="s">
        <v>11</v>
      </c>
      <c r="F79" s="235" t="s">
        <v>4</v>
      </c>
      <c r="G79" s="235" t="s">
        <v>5</v>
      </c>
      <c r="H79" s="235" t="s">
        <v>6</v>
      </c>
      <c r="I79" s="236" t="s">
        <v>77</v>
      </c>
      <c r="J79" s="306"/>
      <c r="K79" s="501" t="str">
        <f t="shared" si="39"/>
        <v/>
      </c>
      <c r="L79" s="306" t="str">
        <f>IFERROR(VLOOKUP(B80,'Aktuelle Einnahmen'!A2:J104,10,0),"")</f>
        <v/>
      </c>
      <c r="M79" s="510" t="str">
        <f>M69</f>
        <v>Stufe C</v>
      </c>
      <c r="N79" s="237"/>
      <c r="O79" s="238"/>
      <c r="P79" s="238"/>
      <c r="Q79" s="239"/>
      <c r="R79" s="240"/>
      <c r="S79" s="241"/>
      <c r="T79" s="241"/>
      <c r="U79" s="242"/>
      <c r="V79" s="243"/>
      <c r="W79" s="241"/>
      <c r="X79" s="241"/>
      <c r="Y79" s="242"/>
      <c r="Z79" s="243"/>
      <c r="AA79" s="241"/>
      <c r="AB79" s="241"/>
      <c r="AC79" s="242"/>
      <c r="AD79" s="243"/>
      <c r="AE79" s="241"/>
      <c r="AF79" s="241"/>
      <c r="AG79" s="242"/>
      <c r="AH79" s="240"/>
      <c r="AI79" s="241"/>
      <c r="AJ79" s="241"/>
      <c r="AK79" s="377"/>
      <c r="AL79" s="347"/>
      <c r="AM79" s="353"/>
      <c r="AN79" s="353"/>
      <c r="AO79" s="353"/>
      <c r="AP79" s="353"/>
      <c r="AQ79" s="349"/>
      <c r="AR79" s="768"/>
      <c r="AS79" s="768"/>
      <c r="AT79" s="768"/>
      <c r="AW79" s="335"/>
      <c r="AX79" s="335"/>
      <c r="AY79" s="778"/>
      <c r="AZ79" s="335"/>
      <c r="BA79" s="335"/>
      <c r="BB79" s="335"/>
      <c r="BC79" s="335"/>
      <c r="BD79" s="1299"/>
      <c r="BE79" s="335"/>
      <c r="BF79" s="335"/>
      <c r="BG79" s="778"/>
      <c r="BH79" s="335"/>
      <c r="BI79" s="335"/>
      <c r="BJ79" s="335"/>
      <c r="BK79" s="335"/>
      <c r="BM79" s="334"/>
      <c r="BP79" s="335"/>
      <c r="BQ79" s="335"/>
      <c r="BR79" s="335"/>
      <c r="BS79" s="335"/>
      <c r="BT79" s="335"/>
      <c r="BU79" s="335"/>
      <c r="BV79" s="335"/>
      <c r="BW79" s="335"/>
      <c r="BX79" s="335"/>
      <c r="BY79" s="335"/>
      <c r="BZ79" s="335"/>
      <c r="CA79" s="335"/>
      <c r="CB79" s="335"/>
      <c r="CC79" s="335"/>
      <c r="CD79" s="335"/>
      <c r="CE79" s="335"/>
      <c r="CF79" s="335"/>
      <c r="CG79" s="335"/>
      <c r="CH79" s="335"/>
      <c r="CI79" s="335"/>
    </row>
    <row r="80" spans="1:87" ht="23" customHeight="1">
      <c r="A80" s="181">
        <f t="shared" si="38"/>
        <v>45292</v>
      </c>
      <c r="B80" s="182">
        <v>8</v>
      </c>
      <c r="C80" s="183" t="str">
        <f>IFERROR(VLOOKUP($B80,'Aktuelle Einnahmen'!A2:G104,3,0),"")</f>
        <v>Harris</v>
      </c>
      <c r="D80" s="184" t="str">
        <f>IFERROR(VLOOKUP($B80,'Aktuelle Einnahmen'!A2:G104,2,0),"")</f>
        <v>Henry</v>
      </c>
      <c r="E80" s="185" t="str">
        <f>IFERROR(VLOOKUP($B80,'Aktuelle Einnahmen'!A2:G104,4,0),"")</f>
        <v>2 XVII 93 / 19 H</v>
      </c>
      <c r="F80" s="94">
        <f>IFERROR(VLOOKUP($B80,'Aktuelle Einnahmen'!A2:G104,5,0),"")</f>
        <v>4</v>
      </c>
      <c r="G80" s="94">
        <f>IFERROR(VLOOKUP($B80,'Aktuelle Einnahmen'!A2:G104,6,0),"")</f>
        <v>1</v>
      </c>
      <c r="H80" s="94">
        <f>IFERROR(VLOOKUP($B80,'Aktuelle Einnahmen'!A2:G104,7,0),"")</f>
        <v>22</v>
      </c>
      <c r="I80" s="186">
        <f>DATE(H80,G80,F80)</f>
        <v>8040</v>
      </c>
      <c r="J80" s="472">
        <f ca="1">J70</f>
        <v>45475</v>
      </c>
      <c r="K80" s="506" t="str">
        <f t="shared" si="39"/>
        <v>+Inflat.-P</v>
      </c>
      <c r="L80" s="1262" t="str">
        <f>IFERROR(VLOOKUP(B80,'Aktuelle Einnahmen'!A2:I104,9,0),"")</f>
        <v>Mittellos und ambulant</v>
      </c>
      <c r="M80" s="1263"/>
      <c r="N80" s="261"/>
      <c r="O80" s="261"/>
      <c r="P80" s="261"/>
      <c r="Q80" s="261"/>
      <c r="R80" s="189"/>
      <c r="S80" s="190"/>
      <c r="T80" s="190"/>
      <c r="U80" s="191"/>
      <c r="V80" s="192"/>
      <c r="W80" s="190"/>
      <c r="X80" s="190"/>
      <c r="Y80" s="191"/>
      <c r="Z80" s="192"/>
      <c r="AA80" s="190"/>
      <c r="AB80" s="190"/>
      <c r="AC80" s="191"/>
      <c r="AD80" s="192"/>
      <c r="AE80" s="190"/>
      <c r="AF80" s="190"/>
      <c r="AG80" s="191"/>
      <c r="AH80" s="193"/>
      <c r="AI80" s="190"/>
      <c r="AJ80" s="190"/>
      <c r="AK80" s="374"/>
      <c r="AL80" s="348"/>
      <c r="AM80" s="354"/>
      <c r="AN80" s="354"/>
      <c r="AO80" s="354"/>
      <c r="AP80" s="354"/>
      <c r="AQ80" s="350"/>
      <c r="AR80" s="769"/>
      <c r="AS80" s="769"/>
      <c r="AT80" s="769"/>
      <c r="AW80" s="335"/>
      <c r="AX80" s="335"/>
      <c r="AY80" s="778"/>
      <c r="AZ80" s="335"/>
      <c r="BA80" s="335"/>
      <c r="BB80" s="335"/>
      <c r="BC80" s="335"/>
      <c r="BD80" s="335"/>
      <c r="BE80" s="335"/>
      <c r="BF80" s="335"/>
      <c r="BG80" s="778"/>
      <c r="BH80" s="335"/>
      <c r="BI80" s="335"/>
      <c r="BJ80" s="335"/>
      <c r="BK80" s="335"/>
      <c r="BM80" s="335"/>
      <c r="BP80" s="335"/>
      <c r="BQ80" s="335"/>
      <c r="BR80" s="335"/>
      <c r="BS80" s="335"/>
      <c r="BT80" s="335"/>
      <c r="BU80" s="335"/>
      <c r="BV80" s="335"/>
      <c r="BW80" s="335"/>
      <c r="BX80" s="335"/>
      <c r="BY80" s="335"/>
      <c r="BZ80" s="335"/>
      <c r="CA80" s="335"/>
      <c r="CB80" s="335"/>
      <c r="CC80" s="335"/>
      <c r="CD80" s="335"/>
      <c r="CE80" s="335"/>
      <c r="CF80" s="335"/>
      <c r="CG80" s="335"/>
      <c r="CH80" s="335"/>
      <c r="CI80" s="335"/>
    </row>
    <row r="81" spans="1:87" ht="22.25" customHeight="1">
      <c r="A81" s="181">
        <f t="shared" si="38"/>
        <v>45292</v>
      </c>
      <c r="B81" s="484">
        <f>DAY(I80)</f>
        <v>4</v>
      </c>
      <c r="C81" s="489" t="s">
        <v>158</v>
      </c>
      <c r="D81" s="520">
        <f>(I81*4)+J81/3+1</f>
        <v>8</v>
      </c>
      <c r="E81" s="194">
        <f>J83+1</f>
        <v>45204</v>
      </c>
      <c r="F81" s="195">
        <f t="shared" ref="F81:F88" si="40">DAY(E81)</f>
        <v>5</v>
      </c>
      <c r="G81" s="196">
        <f t="shared" ref="G81:G88" si="41">MONTH(E81)</f>
        <v>10</v>
      </c>
      <c r="H81" s="195">
        <f t="shared" ref="H81:H88" si="42">YEAR(E81)</f>
        <v>2023</v>
      </c>
      <c r="I81" s="197">
        <f>H81-(H80+2000)</f>
        <v>1</v>
      </c>
      <c r="J81" s="198">
        <f>G81-G80</f>
        <v>9</v>
      </c>
      <c r="K81" s="506" t="str">
        <f>L79</f>
        <v/>
      </c>
      <c r="L81" s="469"/>
      <c r="M81" s="473" t="str">
        <f ca="1">SUM(J80-E82)&amp;" Tage"</f>
        <v>180 Tage</v>
      </c>
      <c r="N81" s="206"/>
      <c r="O81" s="201"/>
      <c r="P81" s="201"/>
      <c r="Q81" s="202"/>
      <c r="R81" s="189"/>
      <c r="S81" s="203"/>
      <c r="T81" s="203"/>
      <c r="U81" s="204"/>
      <c r="V81" s="192"/>
      <c r="W81" s="203"/>
      <c r="X81" s="203"/>
      <c r="Y81" s="204"/>
      <c r="Z81" s="192"/>
      <c r="AA81" s="203"/>
      <c r="AB81" s="203"/>
      <c r="AC81" s="204"/>
      <c r="AD81" s="192"/>
      <c r="AE81" s="203"/>
      <c r="AF81" s="203"/>
      <c r="AG81" s="204"/>
      <c r="AH81" s="193"/>
      <c r="AI81" s="203"/>
      <c r="AJ81" s="203"/>
      <c r="AK81" s="375"/>
      <c r="AL81" s="348"/>
      <c r="AM81" s="354"/>
      <c r="AN81" s="354"/>
      <c r="AO81" s="354"/>
      <c r="AP81" s="354"/>
      <c r="AQ81" s="350"/>
      <c r="AR81" s="769"/>
      <c r="AS81" s="769"/>
      <c r="AT81" s="769"/>
      <c r="AW81" s="335"/>
      <c r="AX81" s="335"/>
      <c r="AY81" s="778"/>
      <c r="AZ81" s="335"/>
      <c r="BA81" s="335"/>
      <c r="BB81" s="335"/>
      <c r="BC81" s="335"/>
      <c r="BD81" s="335"/>
      <c r="BE81" s="335"/>
      <c r="BF81" s="335"/>
      <c r="BG81" s="778"/>
      <c r="BH81" s="335"/>
      <c r="BI81" s="335"/>
      <c r="BJ81" s="335"/>
      <c r="BK81" s="335"/>
      <c r="BM81" s="335"/>
      <c r="BP81" s="335"/>
      <c r="BQ81" s="335"/>
      <c r="BR81" s="335"/>
      <c r="BS81" s="335"/>
      <c r="BT81" s="335"/>
      <c r="BU81" s="335"/>
      <c r="BV81" s="335"/>
      <c r="BW81" s="335"/>
      <c r="BX81" s="335"/>
      <c r="BY81" s="335"/>
      <c r="BZ81" s="335"/>
      <c r="CA81" s="335"/>
      <c r="CB81" s="335"/>
      <c r="CC81" s="335"/>
      <c r="CD81" s="335"/>
      <c r="CE81" s="335"/>
      <c r="CF81" s="335"/>
      <c r="CG81" s="335"/>
      <c r="CH81" s="335"/>
      <c r="CI81" s="335"/>
    </row>
    <row r="82" spans="1:87" ht="22.25" customHeight="1">
      <c r="A82" s="181">
        <f t="shared" si="38"/>
        <v>45292</v>
      </c>
      <c r="B82" s="485"/>
      <c r="C82" s="490"/>
      <c r="D82" s="521"/>
      <c r="E82" s="194">
        <f>DATE(YEAR(E81),MONTH(E81)+3,DAY(E81)-1)</f>
        <v>45295</v>
      </c>
      <c r="F82" s="195">
        <f t="shared" si="40"/>
        <v>4</v>
      </c>
      <c r="G82" s="196">
        <f t="shared" si="41"/>
        <v>1</v>
      </c>
      <c r="H82" s="195">
        <f t="shared" si="42"/>
        <v>2024</v>
      </c>
      <c r="I82" s="244">
        <v>-1</v>
      </c>
      <c r="J82" s="198">
        <f>F81-F80</f>
        <v>1</v>
      </c>
      <c r="K82" s="501" t="str">
        <f t="shared" si="39"/>
        <v>+Inflat.-P</v>
      </c>
      <c r="L82" s="511">
        <f>IF(M79="Stufe A",IF(AND(L80="Auswahl treffen",D81&gt;=0,D81&lt;=1000),J79,IF(AND(L80="Vermögend und ambulant",D81&gt;8,D81&lt;=1000),130,IF(AND(L80="Vermögend und ambulant",D81&gt;4,D81&lt;=8),158,IF(AND(L80="Vermögend und ambulant",D81&gt;2,D81&lt;=4),192,IF(AND(L80="Vermögend und ambulant",D81&gt;1,D81&lt;=2),208,IF(AND(L80="Vermögend und ambulant",D81&gt;0,D81&lt;=1),298,IF(AND(L80="Vermögend und stationär",D81&gt;8,D81&lt;=1000),78,IF(AND(L80="Vermögend und stationär",D81&gt;4,D81&lt;=8),91,IF(AND(L80="Vermögend und stationär",D81&gt;2,D81&lt;=4),140,IF(AND(L80="Vermögend und stationär",D81&gt;1,D81&lt;=2),158,IF(AND(L80="Vermögend und stationär",D81&gt;0,D81&lt;=1),200,IF(AND(L80="Mittellos und ambulant",D81&gt;8,D81&lt;=1000),105,IF(AND(L80="Mittellos und ambulant",D81&gt;4,D81&lt;=8),122,IF(AND(L80="Mittellos und ambulant",D81&gt;2,D81&lt;=4),151,IF(AND(L80="Mittellos und ambulant",D81&gt;1,D81&lt;=2),170,IF(AND(L80="Mittellos und ambulant",D81&gt;0,D81&lt;=1),208,IF(AND(L80="Mittellos und stationär",D81&gt;8,D81&lt;=1000),62,IF(AND(L80="Mittellos und stationär",D81&gt;4,D81&lt;=8),87,IF(AND(L80="Mittellos und stationär",D81&gt;2,D81&lt;=4),124,IF(AND(L80="Mittellos und stationär",D81&gt;1,D81&lt;=2),129,IF(AND(L80="Mittellos und stationär",D81&gt;0,D81&lt;=1),194,""))))))))))))))))))))),IF(M79="Stufe B",IF(AND(L80="Auswahl treffen",D81&gt;=0,D81&lt;=1000),J79,IF(AND(L80="Vermögend und ambulant",D81&gt;8,D81&lt;=1000),161,IF(AND(L80="Vermögend und ambulant",D81&gt;4,D81&lt;=8),196,IF(AND(L80="Vermögend und ambulant",D81&gt;2,D81&lt;=4),238,IF(AND(L80="Vermögend und ambulant",D81&gt;1,D81&lt;=2),258,IF(AND(L80="Vermögend und ambulant",D81&gt;0,D81&lt;=1),370,IF(AND(L80="Vermögend und stationär",D81&gt;8,D81&lt;=1000),96,IF(AND(L80="Vermögend und stationär",D81&gt;4,D81&lt;=8),113,IF(AND(L80="Vermögend und stationär",D81&gt;2,D81&lt;=4),174,IF(AND(L80="Vermögend und stationär",D81&gt;1,D81&lt;=2),196,IF(AND(L80="Vermögend und stationär",D81&gt;0,D81&lt;=1),249,IF(AND(L80="Mittellos und ambulant",D81&gt;8,D81&lt;=1000),130,IF(AND(L80="Mittellos und ambulant",D81&gt;4,D81&lt;=8),151,IF(AND(L80="Mittellos und ambulant",D81&gt;2,D81&lt;=4),188,IF(AND(L80="Mittellos und ambulant",D81&gt;1,D81&lt;=2),211,IF(AND(L80="Mittellos und ambulant",D81&gt;0,D81&lt;=1),258,IF(AND(L80="Mittellos und stationär",D81&gt;8,D81&lt;=1000),78,IF(AND(L80="Mittellos und stationär",D81&gt;4,D81&lt;=8),107,IF(AND(L80="Mittellos und stationär",D81&gt;2,D81&lt;=4),154,IF(AND(L80="Mittellos und stationär",D81&gt;1,D81&lt;=2),158,IF(AND(L80="Mittellos und stationär",D81&gt;0,D81&lt;=1),241,""))))))))))))))))))))),IF(M79="Stufe C",IF(AND(L80="Auswahl treffen",D81&gt;=0,D81&lt;=1000),J79,IF(AND(L80="Vermögend und ambulant",D81&gt;8,D81&lt;=1000),211,IF(AND(L80="Vermögend und ambulant",D81&gt;4,D81&lt;=8),257,IF(AND(L80="Vermögend und ambulant",D81&gt;2,D81&lt;=4),312,IF(AND(L80="Vermögend und ambulant",D81&gt;1,D81&lt;=2),339,IF(AND(L80="Vermögend und ambulant",D81&gt;0,D81&lt;=1),486,IF(AND(L80="Vermögend und stationär",D81&gt;8,D81&lt;=1000),127,IF(AND(L80="Vermögend und stationär",D81&gt;4,D81&lt;=8),149,IF(AND(L80="Vermögend und stationär",D81&gt;2,D81&lt;=4),229,IF(AND(L80="Vermögend und stationär",D81&gt;1,D81&lt;=2),257,IF(AND(L80="Vermögend und stationär",D81&gt;0,D81&lt;=1),327,IF(AND(L80="Mittellos und ambulant",D81&gt;8,D81&lt;=1000),171,IF(AND(L80="Mittellos und ambulant",D81&gt;4,D81&lt;=8),198,IF(AND(L80="Mittellos und ambulant",D81&gt;2,D81&lt;=4),246,IF(AND(L80="Mittellos und ambulant",D81&gt;1,D81&lt;=2),277,IF(AND(L80="Mittellos und ambulant",D81&gt;0,D81&lt;=1),339,IF(AND(L80="Mittellos und stationär",D81&gt;8,D81&lt;=1000),102,IF(AND(L80="Mittellos und stationär",D81&gt;4,D81&lt;=8),141,IF(AND(L80="Mittellos und stationär",D81&gt;2,D81&lt;=4),202,IF(AND(L80="Mittellos und stationär",D81&gt;1,D81&lt;=2),208,IF(AND(L80="Mittellos und stationär",D81&gt;0,D81&lt;=1),317,""))))))))))))))))))))),"")))*3+(J79*90)</f>
        <v>594</v>
      </c>
      <c r="M82" s="507" t="str">
        <f>CONCATENATE(K82, K81)</f>
        <v>+Inflat.-P</v>
      </c>
      <c r="N82" s="206" t="s">
        <v>118</v>
      </c>
      <c r="O82" s="207"/>
      <c r="P82" s="207"/>
      <c r="Q82" s="208"/>
      <c r="R82" s="187"/>
      <c r="S82" s="209" t="s">
        <v>118</v>
      </c>
      <c r="T82" s="201" t="s">
        <v>117</v>
      </c>
      <c r="U82" s="210" t="s">
        <v>26</v>
      </c>
      <c r="V82" s="192"/>
      <c r="W82" s="203"/>
      <c r="X82" s="203"/>
      <c r="Y82" s="210"/>
      <c r="Z82" s="192"/>
      <c r="AA82" s="203"/>
      <c r="AB82" s="203"/>
      <c r="AC82" s="210"/>
      <c r="AD82" s="192"/>
      <c r="AE82" s="203"/>
      <c r="AF82" s="203"/>
      <c r="AG82" s="210"/>
      <c r="AH82" s="193"/>
      <c r="AI82" s="203"/>
      <c r="AJ82" s="203"/>
      <c r="AK82" s="376"/>
      <c r="AL82" s="348" t="s">
        <v>148</v>
      </c>
      <c r="AM82" s="354">
        <f>IF(SUM(N80:N88)=SUM(S80:S88), 0, SUM(N80:N88)-SUM(S80:S88))</f>
        <v>0</v>
      </c>
      <c r="AN82" s="354"/>
      <c r="AO82" s="354"/>
      <c r="AP82" s="354"/>
      <c r="AQ82" s="350">
        <f>AM82+AN82+AO82+AP82</f>
        <v>0</v>
      </c>
      <c r="AR82" s="769"/>
      <c r="AS82" s="769"/>
      <c r="AT82" s="769"/>
      <c r="AW82" s="335"/>
      <c r="AX82" s="335"/>
      <c r="AY82" s="778"/>
      <c r="AZ82" s="335"/>
      <c r="BA82" s="335"/>
      <c r="BB82" s="335"/>
      <c r="BC82" s="335"/>
      <c r="BD82" s="335"/>
      <c r="BE82" s="335"/>
      <c r="BF82" s="335"/>
      <c r="BG82" s="778"/>
      <c r="BH82" s="335"/>
      <c r="BI82" s="335"/>
      <c r="BJ82" s="335"/>
      <c r="BK82" s="335"/>
      <c r="BM82" s="335"/>
      <c r="BP82" s="335"/>
      <c r="BQ82" s="335"/>
      <c r="BR82" s="335"/>
      <c r="BS82" s="335"/>
      <c r="BT82" s="335"/>
      <c r="BU82" s="335"/>
      <c r="BV82" s="335"/>
      <c r="BW82" s="335"/>
      <c r="BX82" s="335"/>
      <c r="BY82" s="335"/>
      <c r="BZ82" s="335"/>
      <c r="CA82" s="335"/>
      <c r="CB82" s="335"/>
      <c r="CC82" s="335"/>
      <c r="CD82" s="335"/>
      <c r="CE82" s="335"/>
      <c r="CF82" s="335"/>
      <c r="CG82" s="335"/>
      <c r="CH82" s="335"/>
      <c r="CI82" s="335"/>
    </row>
    <row r="83" spans="1:87" ht="22.25" customHeight="1">
      <c r="A83" s="181">
        <f t="shared" si="38"/>
        <v>45292</v>
      </c>
      <c r="B83" s="484">
        <f>MONTH(I80)</f>
        <v>1</v>
      </c>
      <c r="C83" s="489" t="s">
        <v>158</v>
      </c>
      <c r="D83" s="522">
        <f>D81+1</f>
        <v>9</v>
      </c>
      <c r="E83" s="211">
        <f>DATE(YEAR(E82),MONTH(E82),DAY(E82)+1)</f>
        <v>45296</v>
      </c>
      <c r="F83" s="212">
        <f t="shared" si="40"/>
        <v>5</v>
      </c>
      <c r="G83" s="213">
        <f t="shared" si="41"/>
        <v>1</v>
      </c>
      <c r="H83" s="212">
        <f t="shared" si="42"/>
        <v>2024</v>
      </c>
      <c r="I83" s="214" t="str">
        <f>IF(D80&lt;&gt;0,"-1T","")</f>
        <v>-1T</v>
      </c>
      <c r="J83" s="215">
        <f>DATE($B85,I84,$B81)</f>
        <v>45203</v>
      </c>
      <c r="K83" s="506" t="str">
        <f t="shared" si="39"/>
        <v/>
      </c>
      <c r="L83" s="470"/>
      <c r="M83" s="473" t="str">
        <f ca="1">SUM(J80-E84)&amp;" Tage"</f>
        <v>89 Tage</v>
      </c>
      <c r="N83" s="216"/>
      <c r="O83" s="217"/>
      <c r="P83" s="188"/>
      <c r="Q83" s="217"/>
      <c r="R83" s="189"/>
      <c r="S83" s="190"/>
      <c r="T83" s="190"/>
      <c r="U83" s="191"/>
      <c r="V83" s="192"/>
      <c r="W83" s="190"/>
      <c r="X83" s="190"/>
      <c r="Y83" s="191"/>
      <c r="Z83" s="192"/>
      <c r="AA83" s="190"/>
      <c r="AB83" s="190"/>
      <c r="AC83" s="191"/>
      <c r="AD83" s="192"/>
      <c r="AE83" s="190"/>
      <c r="AF83" s="190"/>
      <c r="AG83" s="191"/>
      <c r="AH83" s="193"/>
      <c r="AI83" s="190"/>
      <c r="AJ83" s="190"/>
      <c r="AK83" s="374"/>
      <c r="AL83" s="348"/>
      <c r="AM83" s="354"/>
      <c r="AN83" s="354"/>
      <c r="AO83" s="354"/>
      <c r="AP83" s="354"/>
      <c r="AQ83" s="350"/>
      <c r="AR83" s="769"/>
      <c r="AS83" s="769"/>
      <c r="AT83" s="769"/>
      <c r="AW83" s="335"/>
      <c r="AX83" s="335"/>
      <c r="AY83" s="778"/>
      <c r="AZ83" s="335"/>
      <c r="BA83" s="335"/>
      <c r="BB83" s="335"/>
      <c r="BC83" s="335"/>
      <c r="BD83" s="335"/>
      <c r="BE83" s="335"/>
      <c r="BF83" s="335"/>
      <c r="BG83" s="778"/>
      <c r="BH83" s="335"/>
      <c r="BI83" s="335"/>
      <c r="BJ83" s="335"/>
      <c r="BK83" s="335"/>
      <c r="BM83" s="335"/>
      <c r="BP83" s="335"/>
      <c r="BQ83" s="335"/>
      <c r="BR83" s="335"/>
      <c r="BS83" s="335"/>
      <c r="BT83" s="335"/>
      <c r="BU83" s="335"/>
      <c r="BV83" s="335"/>
      <c r="BW83" s="335"/>
      <c r="BX83" s="335"/>
      <c r="BY83" s="335"/>
      <c r="BZ83" s="335"/>
      <c r="CA83" s="335"/>
      <c r="CB83" s="335"/>
      <c r="CC83" s="335"/>
      <c r="CD83" s="335"/>
      <c r="CE83" s="335"/>
      <c r="CF83" s="335"/>
      <c r="CG83" s="335"/>
      <c r="CH83" s="335"/>
      <c r="CI83" s="335"/>
    </row>
    <row r="84" spans="1:87" ht="22.25" customHeight="1">
      <c r="A84" s="181">
        <f t="shared" si="38"/>
        <v>45292</v>
      </c>
      <c r="B84" s="485"/>
      <c r="C84" s="490"/>
      <c r="D84" s="521"/>
      <c r="E84" s="218">
        <f>DATE(YEAR(E83),MONTH(E83)+3,DAY(E83)-1)</f>
        <v>45386</v>
      </c>
      <c r="F84" s="212">
        <f t="shared" si="40"/>
        <v>4</v>
      </c>
      <c r="G84" s="213">
        <f t="shared" si="41"/>
        <v>4</v>
      </c>
      <c r="H84" s="212">
        <f t="shared" si="42"/>
        <v>2024</v>
      </c>
      <c r="I84" s="219">
        <f>MAX(I85:I88)</f>
        <v>10</v>
      </c>
      <c r="J84" s="220">
        <f>DATE(YEAR(J83)+1,MONTH(J83),DAY(J83))</f>
        <v>45569</v>
      </c>
      <c r="K84" s="501" t="str">
        <f t="shared" si="39"/>
        <v>+Inflat.-P</v>
      </c>
      <c r="L84" s="508">
        <f>IF(M79="Stufe A",IF(AND(L80="Auswahl treffen",D83&gt;=0,D83&lt;=1000),J79,IF(AND(L80="Vermögend und ambulant",D83&gt;8,D83&lt;=1000),130,IF(AND(L80="Vermögend und ambulant",D83&gt;4,D83&lt;=8),158,IF(AND(L80="Vermögend und ambulant",D83&gt;2,D83&lt;=4),192,IF(AND(L80="Vermögend und ambulant",D83&gt;1,D83&lt;=2),208,IF(AND(L80="Vermögend und ambulant",D83&gt;0,D83&lt;=1),298,IF(AND(L80="Vermögend und stationär",D83&gt;8,D83&lt;=1000),78,IF(AND(L80="Vermögend und stationär",D83&gt;4,D83&lt;=8),91,IF(AND(L80="Vermögend und stationär",D83&gt;2,D83&lt;=4),140,IF(AND(L80="Vermögend und stationär",D83&gt;1,D83&lt;=2),158,IF(AND(L80="Vermögend und stationär",D83&gt;0,D83&lt;=1),200,IF(AND(L80="Mittellos und ambulant",D83&gt;8,D83&lt;=1000),105,IF(AND(L80="Mittellos und ambulant",D83&gt;4,D83&lt;=8),122,IF(AND(L80="Mittellos und ambulant",D83&gt;2,D83&lt;=4),151,IF(AND(L80="Mittellos und ambulant",D83&gt;1,D83&lt;=2),170,IF(AND(L80="Mittellos und ambulant",D83&gt;0,D83&lt;=1),208,IF(AND(L80="Mittellos und stationär",D83&gt;8,D83&lt;=1000),62,IF(AND(L80="Mittellos und stationär",D83&gt;4,D83&lt;=8),87,IF(AND(L80="Mittellos und stationär",D83&gt;2,D83&lt;=4),124,IF(AND(L80="Mittellos und stationär",D83&gt;1,D83&lt;=2),129,IF(AND(L80="Mittellos und stationär",D83&gt;0,D83&lt;=1),194,""))))))))))))))))))))),IF(M79="Stufe B",IF(AND(L80="Auswahl treffen",D83&gt;=0,D83&lt;=1000),J79,IF(AND(L80="Vermögend und ambulant",D83&gt;8,D83&lt;=1000),161,IF(AND(L80="Vermögend und ambulant",D83&gt;4,D83&lt;=8),196,IF(AND(L80="Vermögend und ambulant",D83&gt;2,D83&lt;=4),238,IF(AND(L80="Vermögend und ambulant",D83&gt;1,D83&lt;=2),258,IF(AND(L80="Vermögend und ambulant",D83&gt;0,D83&lt;=1),370,IF(AND(L80="Vermögend und stationär",D83&gt;8,D83&lt;=1000),96,IF(AND(L80="Vermögend und stationär",D83&gt;4,D83&lt;=8),113,IF(AND(L80="Vermögend und stationär",D83&gt;2,D83&lt;=4),174,IF(AND(L80="Vermögend und stationär",D83&gt;1,D83&lt;=2),196,IF(AND(L80="Vermögend und stationär",D83&gt;0,D83&lt;=1),249,IF(AND(L80="Mittellos und ambulant",D83&gt;8,D83&lt;=1000),130,IF(AND(L80="Mittellos und ambulant",D83&gt;4,D83&lt;=8),151,IF(AND(L80="Mittellos und ambulant",D83&gt;2,D83&lt;=4),188,IF(AND(L80="Mittellos und ambulant",D83&gt;1,D83&lt;=2),211,IF(AND(L80="Mittellos und ambulant",D83&gt;0,D83&lt;=1),258,IF(AND(L80="Mittellos und stationär",D83&gt;8,D83&lt;=1000),78,IF(AND(L80="Mittellos und stationär",D83&gt;4,D83&lt;=8),107,IF(AND(L80="Mittellos und stationär",D83&gt;2,D83&lt;=4),154,IF(AND(L80="Mittellos und stationär",D83&gt;1,D83&lt;=2),158,IF(AND(L80="Mittellos und stationär",D83&gt;0,D83&lt;=1),241,""))))))))))))))))))))),IF(M79="Stufe C",IF(AND(L80="Auswahl treffen",D83&gt;=0,D83&lt;=1000),J79,IF(AND(L80="Vermögend und ambulant",D83&gt;8,D83&lt;=1000),211,IF(AND(L80="Vermögend und ambulant",D83&gt;4,D83&lt;=8),257,IF(AND(L80="Vermögend und ambulant",D83&gt;2,D83&lt;=4),312,IF(AND(L80="Vermögend und ambulant",D83&gt;1,D83&lt;=2),339,IF(AND(L80="Vermögend und ambulant",D83&gt;0,D83&lt;=1),486,IF(AND(L80="Vermögend und stationär",D83&gt;8,D83&lt;=1000),127,IF(AND(L80="Vermögend und stationär",D83&gt;4,D83&lt;=8),149,IF(AND(L80="Vermögend und stationär",D83&gt;2,D83&lt;=4),229,IF(AND(L80="Vermögend und stationär",D83&gt;1,D83&lt;=2),257,IF(AND(L80="Vermögend und stationär",D83&gt;0,D83&lt;=1),327,IF(AND(L80="Mittellos und ambulant",D83&gt;8,D83&lt;=1000),171,IF(AND(L80="Mittellos und ambulant",D83&gt;4,D83&lt;=8),198,IF(AND(L80="Mittellos und ambulant",D83&gt;2,D83&lt;=4),246,IF(AND(L80="Mittellos und ambulant",D83&gt;1,D83&lt;=2),277,IF(AND(L80="Mittellos und ambulant",D83&gt;0,D83&lt;=1),339,IF(AND(L80="Mittellos und stationär",D83&gt;8,D83&lt;=1000),102,IF(AND(L80="Mittellos und stationär",D83&gt;4,D83&lt;=8),141,IF(AND(L80="Mittellos und stationär",D83&gt;2,D83&lt;=4),202,IF(AND(L80="Mittellos und stationär",D83&gt;1,D83&lt;=2),208,IF(AND(L80="Mittellos und stationär",D83&gt;0,D83&lt;=1),317,""))))))))))))))))))))),"")))*3+(J79*90)</f>
        <v>513</v>
      </c>
      <c r="M84" s="507" t="str">
        <f>CONCATENATE(K84, K83)</f>
        <v>+Inflat.-P</v>
      </c>
      <c r="N84" s="216"/>
      <c r="O84" s="188" t="s">
        <v>118</v>
      </c>
      <c r="P84" s="188"/>
      <c r="Q84" s="221"/>
      <c r="R84" s="199"/>
      <c r="S84" s="190"/>
      <c r="T84" s="190"/>
      <c r="U84" s="191"/>
      <c r="V84" s="192"/>
      <c r="W84" s="222" t="s">
        <v>118</v>
      </c>
      <c r="X84" s="222" t="s">
        <v>117</v>
      </c>
      <c r="Y84" s="191" t="s">
        <v>26</v>
      </c>
      <c r="Z84" s="192"/>
      <c r="AA84" s="190"/>
      <c r="AB84" s="190"/>
      <c r="AC84" s="191"/>
      <c r="AD84" s="192"/>
      <c r="AE84" s="190"/>
      <c r="AF84" s="190"/>
      <c r="AG84" s="191"/>
      <c r="AH84" s="193"/>
      <c r="AI84" s="190"/>
      <c r="AJ84" s="190"/>
      <c r="AK84" s="374"/>
      <c r="AL84" s="348" t="s">
        <v>149</v>
      </c>
      <c r="AM84" s="354"/>
      <c r="AN84" s="354">
        <f>IF(SUM(O80:O88)=SUM(W80:W88), 0, SUM(O80:O88)-SUM(W80:W88))</f>
        <v>0</v>
      </c>
      <c r="AO84" s="354"/>
      <c r="AP84" s="354"/>
      <c r="AQ84" s="350">
        <f>AM84+AN84+AO84+AP84</f>
        <v>0</v>
      </c>
      <c r="AR84" s="769"/>
      <c r="AS84" s="769"/>
      <c r="AT84" s="769"/>
      <c r="AW84" s="335"/>
      <c r="AX84" s="335"/>
      <c r="AY84" s="778"/>
      <c r="AZ84" s="335"/>
      <c r="BA84" s="335"/>
      <c r="BB84" s="335"/>
      <c r="BC84" s="335"/>
      <c r="BD84" s="335"/>
      <c r="BE84" s="335"/>
      <c r="BF84" s="335"/>
      <c r="BG84" s="778"/>
      <c r="BH84" s="335"/>
      <c r="BI84" s="335"/>
      <c r="BJ84" s="335"/>
      <c r="BK84" s="335"/>
      <c r="BM84" s="335"/>
      <c r="BP84" s="335"/>
      <c r="BQ84" s="335"/>
      <c r="BR84" s="335"/>
      <c r="BS84" s="335"/>
      <c r="BT84" s="335"/>
      <c r="BU84" s="335"/>
      <c r="BV84" s="335"/>
      <c r="BW84" s="335"/>
      <c r="BX84" s="335"/>
      <c r="BY84" s="335"/>
      <c r="BZ84" s="335"/>
      <c r="CA84" s="335"/>
      <c r="CB84" s="335"/>
      <c r="CC84" s="335"/>
      <c r="CD84" s="335"/>
      <c r="CE84" s="335"/>
      <c r="CF84" s="335"/>
      <c r="CG84" s="335"/>
      <c r="CH84" s="335"/>
      <c r="CI84" s="335"/>
    </row>
    <row r="85" spans="1:87" ht="22.25" customHeight="1">
      <c r="A85" s="181">
        <f t="shared" si="38"/>
        <v>45292</v>
      </c>
      <c r="B85" s="484">
        <f>YEAR($A86)-1</f>
        <v>2023</v>
      </c>
      <c r="C85" s="489" t="s">
        <v>158</v>
      </c>
      <c r="D85" s="520">
        <f>D83+1</f>
        <v>10</v>
      </c>
      <c r="E85" s="194">
        <f>DATE(YEAR(E84),MONTH(E84),DAY(E84)+1)</f>
        <v>45387</v>
      </c>
      <c r="F85" s="195">
        <f t="shared" si="40"/>
        <v>5</v>
      </c>
      <c r="G85" s="196">
        <f t="shared" si="41"/>
        <v>4</v>
      </c>
      <c r="H85" s="195">
        <f t="shared" si="42"/>
        <v>2024</v>
      </c>
      <c r="I85" s="197">
        <f>IF(J87&lt;13,J87,"")</f>
        <v>10</v>
      </c>
      <c r="J85" s="224">
        <f>G80</f>
        <v>1</v>
      </c>
      <c r="K85" s="506" t="str">
        <f t="shared" si="39"/>
        <v/>
      </c>
      <c r="L85" s="471"/>
      <c r="M85" s="473" t="str">
        <f ca="1">SUM(J80-E86)&amp;" Tage"</f>
        <v>-2 Tage</v>
      </c>
      <c r="N85" s="200"/>
      <c r="O85" s="201"/>
      <c r="P85" s="201"/>
      <c r="Q85" s="202"/>
      <c r="R85" s="189"/>
      <c r="S85" s="203"/>
      <c r="T85" s="203"/>
      <c r="U85" s="204"/>
      <c r="V85" s="192"/>
      <c r="W85" s="203"/>
      <c r="X85" s="203"/>
      <c r="Y85" s="204"/>
      <c r="Z85" s="192"/>
      <c r="AA85" s="203"/>
      <c r="AB85" s="203"/>
      <c r="AC85" s="204"/>
      <c r="AD85" s="192"/>
      <c r="AE85" s="203"/>
      <c r="AF85" s="203"/>
      <c r="AG85" s="204"/>
      <c r="AH85" s="193"/>
      <c r="AI85" s="203"/>
      <c r="AJ85" s="203"/>
      <c r="AK85" s="375"/>
      <c r="AL85" s="348"/>
      <c r="AM85" s="354"/>
      <c r="AN85" s="354"/>
      <c r="AO85" s="354"/>
      <c r="AP85" s="354"/>
      <c r="AQ85" s="350"/>
      <c r="AR85" s="769"/>
      <c r="AS85" s="769"/>
      <c r="AT85" s="769"/>
      <c r="AW85" s="335"/>
      <c r="AX85" s="335"/>
      <c r="AY85" s="778"/>
      <c r="AZ85" s="335"/>
      <c r="BA85" s="335"/>
      <c r="BB85" s="335"/>
      <c r="BC85" s="335"/>
      <c r="BD85" s="335"/>
      <c r="BE85" s="335"/>
      <c r="BF85" s="335"/>
      <c r="BG85" s="778"/>
      <c r="BH85" s="335"/>
      <c r="BI85" s="335"/>
      <c r="BJ85" s="335"/>
      <c r="BK85" s="335"/>
      <c r="BM85" s="335"/>
      <c r="BP85" s="335"/>
      <c r="BQ85" s="335"/>
      <c r="BR85" s="335"/>
      <c r="BS85" s="335"/>
      <c r="BT85" s="335"/>
      <c r="BU85" s="335"/>
      <c r="BV85" s="335"/>
      <c r="BW85" s="335"/>
      <c r="BX85" s="335"/>
      <c r="BY85" s="335"/>
      <c r="BZ85" s="335"/>
      <c r="CA85" s="335"/>
      <c r="CB85" s="335"/>
      <c r="CC85" s="335"/>
      <c r="CD85" s="335"/>
      <c r="CE85" s="335"/>
      <c r="CF85" s="335"/>
      <c r="CG85" s="335"/>
      <c r="CH85" s="335"/>
      <c r="CI85" s="335"/>
    </row>
    <row r="86" spans="1:87" ht="22.25" customHeight="1">
      <c r="A86" s="181">
        <f t="shared" si="38"/>
        <v>45292</v>
      </c>
      <c r="B86" s="485"/>
      <c r="C86" s="490"/>
      <c r="D86" s="521"/>
      <c r="E86" s="194">
        <f>DATE(YEAR(E85),MONTH(E85)+3,DAY(E85)-1)</f>
        <v>45477</v>
      </c>
      <c r="F86" s="195">
        <f t="shared" si="40"/>
        <v>4</v>
      </c>
      <c r="G86" s="196">
        <f t="shared" si="41"/>
        <v>7</v>
      </c>
      <c r="H86" s="195">
        <f t="shared" si="42"/>
        <v>2024</v>
      </c>
      <c r="I86" s="244">
        <f>IF(J88&lt;13,J88,"")</f>
        <v>7</v>
      </c>
      <c r="J86" s="224">
        <f>J85+3</f>
        <v>4</v>
      </c>
      <c r="K86" s="501" t="str">
        <f t="shared" si="39"/>
        <v>+Inflat.-P</v>
      </c>
      <c r="L86" s="511">
        <f>IF(M79="Stufe A",IF(AND(L80="Auswahl treffen",D85&gt;=0,D85&lt;=1000),J79,IF(AND(L80="Vermögend und ambulant",D85&gt;8,D85&lt;=1000),130,IF(AND(L80="Vermögend und ambulant",D85&gt;4,D85&lt;=8),158,IF(AND(L80="Vermögend und ambulant",D85&gt;2,D85&lt;=4),192,IF(AND(L80="Vermögend und ambulant",D85&gt;1,D85&lt;=2),208,IF(AND(L80="Vermögend und ambulant",D85&gt;0,D85&lt;=1),298,IF(AND(L80="Vermögend und stationär",D85&gt;8,D85&lt;=1000),78,IF(AND(L80="Vermögend und stationär",D85&gt;4,D85&lt;=8),91,IF(AND(L80="Vermögend und stationär",D85&gt;2,D85&lt;=4),140,IF(AND(L80="Vermögend und stationär",D85&gt;1,D85&lt;=2),158,IF(AND(L80="Vermögend und stationär",D85&gt;0,D85&lt;=1),200,IF(AND(L80="Mittellos und ambulant",D85&gt;8,D85&lt;=1000),105,IF(AND(L80="Mittellos und ambulant",D85&gt;4,D85&lt;=8),122,IF(AND(L80="Mittellos und ambulant",D85&gt;2,D85&lt;=4),151,IF(AND(L80="Mittellos und ambulant",D85&gt;1,D85&lt;=2),170,IF(AND(L80="Mittellos und ambulant",D85&gt;0,D85&lt;=1),208,IF(AND(L80="Mittellos und stationär",D85&gt;8,D85&lt;=1000),62,IF(AND(L80="Mittellos und stationär",D85&gt;4,D85&lt;=8),87,IF(AND(L80="Mittellos und stationär",D85&gt;2,D85&lt;=4),124,IF(AND(L80="Mittellos und stationär",D85&gt;1,D85&lt;=2),129,IF(AND(L80="Mittellos und stationär",D85&gt;0,D85&lt;=1),194,""))))))))))))))))))))),IF(M79="Stufe B",IF(AND(L80="Auswahl treffen",D85&gt;=0,D85&lt;=1000),J79,IF(AND(L80="Vermögend und ambulant",D85&gt;8,D85&lt;=1000),161,IF(AND(L80="Vermögend und ambulant",D85&gt;4,D85&lt;=8),196,IF(AND(L80="Vermögend und ambulant",D85&gt;2,D85&lt;=4),238,IF(AND(L80="Vermögend und ambulant",D85&gt;1,D85&lt;=2),258,IF(AND(L80="Vermögend und ambulant",D85&gt;0,D85&lt;=1),370,IF(AND(L80="Vermögend und stationär",D85&gt;8,D85&lt;=1000),96,IF(AND(L80="Vermögend und stationär",D85&gt;4,D85&lt;=8),113,IF(AND(L80="Vermögend und stationär",D85&gt;2,D85&lt;=4),174,IF(AND(L80="Vermögend und stationär",D85&gt;1,D85&lt;=2),196,IF(AND(L80="Vermögend und stationär",D85&gt;0,D85&lt;=1),249,IF(AND(L80="Mittellos und ambulant",D85&gt;8,D85&lt;=1000),130,IF(AND(L80="Mittellos und ambulant",D85&gt;4,D85&lt;=8),151,IF(AND(L80="Mittellos und ambulant",D85&gt;2,D85&lt;=4),188,IF(AND(L80="Mittellos und ambulant",D85&gt;1,D85&lt;=2),211,IF(AND(L80="Mittellos und ambulant",D85&gt;0,D85&lt;=1),258,IF(AND(L80="Mittellos und stationär",D85&gt;8,D85&lt;=1000),78,IF(AND(L80="Mittellos und stationär",D85&gt;4,D85&lt;=8),107,IF(AND(L80="Mittellos und stationär",D85&gt;2,D85&lt;=4),154,IF(AND(L80="Mittellos und stationär",D85&gt;1,D85&lt;=2),158,IF(AND(L80="Mittellos und stationär",D85&gt;0,D85&lt;=1),241,""))))))))))))))))))))),IF(M79="Stufe C",IF(AND(L80="Auswahl treffen",D85&gt;=0,D85&lt;=1000),J79,IF(AND(L80="Vermögend und ambulant",D85&gt;8,D85&lt;=1000),211,IF(AND(L80="Vermögend und ambulant",D85&gt;4,D85&lt;=8),257,IF(AND(L80="Vermögend und ambulant",D85&gt;2,D85&lt;=4),312,IF(AND(L80="Vermögend und ambulant",D85&gt;1,D85&lt;=2),339,IF(AND(L80="Vermögend und ambulant",D85&gt;0,D85&lt;=1),486,IF(AND(L80="Vermögend und stationär",D85&gt;8,D85&lt;=1000),127,IF(AND(L80="Vermögend und stationär",D85&gt;4,D85&lt;=8),149,IF(AND(L80="Vermögend und stationär",D85&gt;2,D85&lt;=4),229,IF(AND(L80="Vermögend und stationär",D85&gt;1,D85&lt;=2),257,IF(AND(L80="Vermögend und stationär",D85&gt;0,D85&lt;=1),327,IF(AND(L80="Mittellos und ambulant",D85&gt;8,D85&lt;=1000),171,IF(AND(L80="Mittellos und ambulant",D85&gt;4,D85&lt;=8),198,IF(AND(L80="Mittellos und ambulant",D85&gt;2,D85&lt;=4),246,IF(AND(L80="Mittellos und ambulant",D85&gt;1,D85&lt;=2),277,IF(AND(L80="Mittellos und ambulant",D85&gt;0,D85&lt;=1),339,IF(AND(L80="Mittellos und stationär",D85&gt;8,D85&lt;=1000),102,IF(AND(L80="Mittellos und stationär",D85&gt;4,D85&lt;=8),141,IF(AND(L80="Mittellos und stationär",D85&gt;2,D85&lt;=4),202,IF(AND(L80="Mittellos und stationär",D85&gt;1,D85&lt;=2),208,IF(AND(L80="Mittellos und stationär",D85&gt;0,D85&lt;=1),317,""))))))))))))))))))))),"")))*3+(J79*90)</f>
        <v>513</v>
      </c>
      <c r="M86" s="507" t="str">
        <f>CONCATENATE(K86, K85)</f>
        <v>+Inflat.-P</v>
      </c>
      <c r="N86" s="206"/>
      <c r="O86" s="207"/>
      <c r="P86" s="206" t="s">
        <v>118</v>
      </c>
      <c r="Q86" s="226"/>
      <c r="R86" s="189"/>
      <c r="S86" s="203"/>
      <c r="T86" s="203"/>
      <c r="U86" s="204"/>
      <c r="V86" s="192"/>
      <c r="W86" s="203"/>
      <c r="X86" s="203"/>
      <c r="Y86" s="204"/>
      <c r="Z86" s="192"/>
      <c r="AA86" s="209" t="s">
        <v>118</v>
      </c>
      <c r="AB86" s="209" t="s">
        <v>117</v>
      </c>
      <c r="AC86" s="204" t="s">
        <v>26</v>
      </c>
      <c r="AD86" s="192"/>
      <c r="AE86" s="203"/>
      <c r="AF86" s="203"/>
      <c r="AG86" s="204"/>
      <c r="AH86" s="193"/>
      <c r="AI86" s="203"/>
      <c r="AJ86" s="203"/>
      <c r="AK86" s="375"/>
      <c r="AL86" s="348" t="s">
        <v>150</v>
      </c>
      <c r="AM86" s="354"/>
      <c r="AN86" s="354"/>
      <c r="AO86" s="354">
        <f>IF(SUM(P80:P88)=SUM(AA80:AA88), 0, SUM(P80:P88)-SUM(AA80:AA88))</f>
        <v>0</v>
      </c>
      <c r="AP86" s="354"/>
      <c r="AQ86" s="350">
        <f>AM86+AN86+AO86+AP86</f>
        <v>0</v>
      </c>
      <c r="AR86" s="769"/>
      <c r="AS86" s="769"/>
      <c r="AT86" s="769"/>
      <c r="AW86" s="335"/>
      <c r="AX86" s="335"/>
      <c r="AY86" s="778"/>
      <c r="AZ86" s="335"/>
      <c r="BA86" s="335"/>
      <c r="BB86" s="335"/>
      <c r="BC86" s="335"/>
      <c r="BD86" s="335"/>
      <c r="BE86" s="335"/>
      <c r="BF86" s="335"/>
      <c r="BG86" s="778"/>
      <c r="BH86" s="335"/>
      <c r="BI86" s="335"/>
      <c r="BJ86" s="335"/>
      <c r="BK86" s="335"/>
      <c r="BM86" s="335"/>
      <c r="BP86" s="335"/>
      <c r="BQ86" s="335"/>
      <c r="BR86" s="335"/>
      <c r="BS86" s="335"/>
      <c r="BT86" s="335"/>
      <c r="BU86" s="335"/>
      <c r="BV86" s="335"/>
      <c r="BW86" s="335"/>
      <c r="BX86" s="335"/>
      <c r="BY86" s="335"/>
      <c r="BZ86" s="335"/>
      <c r="CA86" s="335"/>
      <c r="CB86" s="335"/>
      <c r="CC86" s="335"/>
      <c r="CD86" s="335"/>
      <c r="CE86" s="335"/>
      <c r="CF86" s="335"/>
      <c r="CG86" s="335"/>
      <c r="CH86" s="335"/>
      <c r="CI86" s="335"/>
    </row>
    <row r="87" spans="1:87" ht="22.25" customHeight="1">
      <c r="A87" s="181">
        <f t="shared" si="38"/>
        <v>45292</v>
      </c>
      <c r="B87" s="486"/>
      <c r="C87" s="489" t="s">
        <v>158</v>
      </c>
      <c r="D87" s="522">
        <f>D85+1</f>
        <v>11</v>
      </c>
      <c r="E87" s="211">
        <f>DATE(YEAR(E86),MONTH(E86),DAY(E86)+1)</f>
        <v>45478</v>
      </c>
      <c r="F87" s="227">
        <f t="shared" si="40"/>
        <v>5</v>
      </c>
      <c r="G87" s="228">
        <f t="shared" si="41"/>
        <v>7</v>
      </c>
      <c r="H87" s="227">
        <f t="shared" si="42"/>
        <v>2024</v>
      </c>
      <c r="I87" s="231">
        <f>IF(J86&lt;13,J86,"")</f>
        <v>4</v>
      </c>
      <c r="J87" s="230">
        <f>J88+3</f>
        <v>10</v>
      </c>
      <c r="K87" s="506" t="str">
        <f t="shared" si="39"/>
        <v/>
      </c>
      <c r="L87" s="471"/>
      <c r="M87" s="473" t="str">
        <f ca="1">SUM(J80-E88)&amp;" Tage"</f>
        <v>-94 Tage</v>
      </c>
      <c r="N87" s="216"/>
      <c r="O87" s="188"/>
      <c r="P87" s="188"/>
      <c r="Q87" s="217"/>
      <c r="R87" s="189"/>
      <c r="S87" s="190"/>
      <c r="T87" s="190"/>
      <c r="U87" s="191"/>
      <c r="V87" s="192"/>
      <c r="W87" s="190"/>
      <c r="X87" s="190"/>
      <c r="Y87" s="191"/>
      <c r="Z87" s="192"/>
      <c r="AA87" s="190"/>
      <c r="AB87" s="190"/>
      <c r="AC87" s="191"/>
      <c r="AD87" s="192"/>
      <c r="AE87" s="190"/>
      <c r="AF87" s="190"/>
      <c r="AG87" s="191"/>
      <c r="AH87" s="193"/>
      <c r="AI87" s="190"/>
      <c r="AJ87" s="190"/>
      <c r="AK87" s="374"/>
      <c r="AL87" s="348"/>
      <c r="AM87" s="354"/>
      <c r="AN87" s="354"/>
      <c r="AO87" s="354"/>
      <c r="AP87" s="354"/>
      <c r="AQ87" s="350"/>
      <c r="AR87" s="769"/>
      <c r="AS87" s="769"/>
      <c r="AT87" s="769"/>
      <c r="AW87" s="335"/>
      <c r="AX87" s="335"/>
      <c r="AY87" s="778"/>
      <c r="AZ87" s="335"/>
      <c r="BA87" s="335"/>
      <c r="BB87" s="335"/>
      <c r="BC87" s="335"/>
      <c r="BD87" s="335"/>
      <c r="BE87" s="335"/>
      <c r="BF87" s="335"/>
      <c r="BG87" s="778"/>
      <c r="BH87" s="335"/>
      <c r="BI87" s="335"/>
      <c r="BJ87" s="335"/>
      <c r="BK87" s="335"/>
      <c r="BM87" s="335"/>
      <c r="BN87" s="351"/>
      <c r="BO87" s="351"/>
      <c r="BP87"/>
      <c r="BQ87"/>
      <c r="BR87"/>
      <c r="BS87"/>
      <c r="BT87"/>
      <c r="BU87" s="335"/>
      <c r="BV87" s="335"/>
      <c r="BW87" s="335"/>
      <c r="BX87" s="335"/>
      <c r="BY87" s="335"/>
      <c r="BZ87" s="335"/>
      <c r="CA87" s="335"/>
      <c r="CB87" s="335"/>
      <c r="CC87" s="335"/>
      <c r="CD87" s="335"/>
      <c r="CE87" s="335"/>
      <c r="CF87" s="335"/>
      <c r="CG87" s="335"/>
      <c r="CH87" s="335"/>
      <c r="CI87" s="335"/>
    </row>
    <row r="88" spans="1:87" ht="22.25" customHeight="1">
      <c r="A88" s="181">
        <f t="shared" si="38"/>
        <v>45292</v>
      </c>
      <c r="B88" s="485"/>
      <c r="C88" s="490"/>
      <c r="D88" s="521"/>
      <c r="E88" s="218">
        <f>DATE(YEAR(E87),MONTH(E87)+3,DAY(E87)-1)</f>
        <v>45569</v>
      </c>
      <c r="F88" s="227">
        <f t="shared" si="40"/>
        <v>4</v>
      </c>
      <c r="G88" s="228">
        <f t="shared" si="41"/>
        <v>10</v>
      </c>
      <c r="H88" s="227">
        <f t="shared" si="42"/>
        <v>2024</v>
      </c>
      <c r="I88" s="231">
        <f>IF(J85&lt;13,J85,"")</f>
        <v>1</v>
      </c>
      <c r="J88" s="230">
        <f>J86+3</f>
        <v>7</v>
      </c>
      <c r="K88" s="501" t="str">
        <f t="shared" si="39"/>
        <v>+Inflat.-P</v>
      </c>
      <c r="L88" s="508">
        <f>IF(M79="Stufe A",IF(AND(L80="Auswahl treffen",D87&gt;=0,D87&lt;=1000),J79,IF(AND(L80="Vermögend und ambulant",D87&gt;8,D87&lt;=1000),130,IF(AND(L80="Vermögend und ambulant",D87&gt;4,D87&lt;=8),158,IF(AND(L80="Vermögend und ambulant",D87&gt;2,D87&lt;=4),192,IF(AND(L80="Vermögend und ambulant",D87&gt;1,D87&lt;=2),208,IF(AND(L80="Vermögend und ambulant",D87&gt;0,D87&lt;=1),298,IF(AND(L80="Vermögend und stationär",D87&gt;8,D87&lt;=1000),78,IF(AND(L80="Vermögend und stationär",D87&gt;4,D87&lt;=8),91,IF(AND(L80="Vermögend und stationär",D87&gt;2,D87&lt;=4),140,IF(AND(L80="Vermögend und stationär",D87&gt;1,D87&lt;=2),158,IF(AND(L80="Vermögend und stationär",D87&gt;0,D87&lt;=1),200,IF(AND(L80="Mittellos und ambulant",D87&gt;8,D87&lt;=1000),105,IF(AND(L80="Mittellos und ambulant",D87&gt;4,D87&lt;=8),122,IF(AND(L80="Mittellos und ambulant",D87&gt;2,D87&lt;=4),151,IF(AND(L80="Mittellos und ambulant",D87&gt;1,D87&lt;=2),170,IF(AND(L80="Mittellos und ambulant",D87&gt;0,D87&lt;=1),208,IF(AND(L80="Mittellos und stationär",D87&gt;8,D87&lt;=1000),62,IF(AND(L80="Mittellos und stationär",D87&gt;4,D87&lt;=8),87,IF(AND(L80="Mittellos und stationär",D87&gt;2,D87&lt;=4),124,IF(AND(L80="Mittellos und stationär",D87&gt;1,D87&lt;=2),129,IF(AND(L80="Mittellos und stationär",D87&gt;0,D87&lt;=1),194,""))))))))))))))))))))),IF(M79="Stufe B",IF(AND(L80="Auswahl treffen",D87&gt;=0,D87&lt;=1000),J79,IF(AND(L80="Vermögend und ambulant",D87&gt;8,D87&lt;=1000),161,IF(AND(L80="Vermögend und ambulant",D87&gt;4,D87&lt;=8),196,IF(AND(L80="Vermögend und ambulant",D87&gt;2,D87&lt;=4),238,IF(AND(L80="Vermögend und ambulant",D87&gt;1,D87&lt;=2),258,IF(AND(L80="Vermögend und ambulant",D87&gt;0,D87&lt;=1),370,IF(AND(L80="Vermögend und stationär",D87&gt;8,D87&lt;=1000),96,IF(AND(L80="Vermögend und stationär",D87&gt;4,D87&lt;=8),113,IF(AND(L80="Vermögend und stationär",D87&gt;2,D87&lt;=4),174,IF(AND(L80="Vermögend und stationär",D87&gt;1,D87&lt;=2),196,IF(AND(L80="Vermögend und stationär",D87&gt;0,D87&lt;=1),249,IF(AND(L80="Mittellos und ambulant",D87&gt;8,D87&lt;=1000),130,IF(AND(L80="Mittellos und ambulant",D87&gt;4,D87&lt;=8),151,IF(AND(L80="Mittellos und ambulant",D87&gt;2,D87&lt;=4),188,IF(AND(L80="Mittellos und ambulant",D87&gt;1,D87&lt;=2),211,IF(AND(L80="Mittellos und ambulant",D87&gt;0,D87&lt;=1),258,IF(AND(L80="Mittellos und stationär",D87&gt;8,D87&lt;=1000),78,IF(AND(L80="Mittellos und stationär",D87&gt;4,D87&lt;=8),107,IF(AND(L80="Mittellos und stationär",D87&gt;2,D87&lt;=4),154,IF(AND(L80="Mittellos und stationär",D87&gt;1,D87&lt;=2),158,IF(AND(L80="Mittellos und stationär",D87&gt;0,D87&lt;=1),241,""))))))))))))))))))))),IF(M79="Stufe C",IF(AND(L80="Auswahl treffen",D87&gt;=0,D87&lt;=1000),J79,IF(AND(L80="Vermögend und ambulant",D87&gt;8,D87&lt;=1000),211,IF(AND(L80="Vermögend und ambulant",D87&gt;4,D87&lt;=8),257,IF(AND(L80="Vermögend und ambulant",D87&gt;2,D87&lt;=4),312,IF(AND(L80="Vermögend und ambulant",D87&gt;1,D87&lt;=2),339,IF(AND(L80="Vermögend und ambulant",D87&gt;0,D87&lt;=1),486,IF(AND(L80="Vermögend und stationär",D87&gt;8,D87&lt;=1000),127,IF(AND(L80="Vermögend und stationär",D87&gt;4,D87&lt;=8),149,IF(AND(L80="Vermögend und stationär",D87&gt;2,D87&lt;=4),229,IF(AND(L80="Vermögend und stationär",D87&gt;1,D87&lt;=2),257,IF(AND(L80="Vermögend und stationär",D87&gt;0,D87&lt;=1),327,IF(AND(L80="Mittellos und ambulant",D87&gt;8,D87&lt;=1000),171,IF(AND(L80="Mittellos und ambulant",D87&gt;4,D87&lt;=8),198,IF(AND(L80="Mittellos und ambulant",D87&gt;2,D87&lt;=4),246,IF(AND(L80="Mittellos und ambulant",D87&gt;1,D87&lt;=2),277,IF(AND(L80="Mittellos und ambulant",D87&gt;0,D87&lt;=1),339,IF(AND(L80="Mittellos und stationär",D87&gt;8,D87&lt;=1000),102,IF(AND(L80="Mittellos und stationär",D87&gt;4,D87&lt;=8),141,IF(AND(L80="Mittellos und stationär",D87&gt;2,D87&lt;=4),202,IF(AND(L80="Mittellos und stationär",D87&gt;1,D87&lt;=2),208,IF(AND(L80="Mittellos und stationär",D87&gt;0,D87&lt;=1),317,""))))))))))))))))))))),"")))*3+(J79*90)</f>
        <v>513</v>
      </c>
      <c r="M88" s="507" t="str">
        <f>CONCATENATE(K88, K87)</f>
        <v>+Inflat.-P</v>
      </c>
      <c r="N88" s="216"/>
      <c r="O88" s="188"/>
      <c r="P88" s="188"/>
      <c r="Q88" s="217" t="s">
        <v>118</v>
      </c>
      <c r="R88" s="189"/>
      <c r="S88" s="190"/>
      <c r="T88" s="190"/>
      <c r="U88" s="191"/>
      <c r="V88" s="192"/>
      <c r="W88" s="190"/>
      <c r="X88" s="190"/>
      <c r="Y88" s="191"/>
      <c r="Z88" s="192"/>
      <c r="AA88" s="190"/>
      <c r="AB88" s="190"/>
      <c r="AC88" s="191"/>
      <c r="AD88" s="192"/>
      <c r="AE88" s="190" t="s">
        <v>118</v>
      </c>
      <c r="AF88" s="190" t="s">
        <v>117</v>
      </c>
      <c r="AG88" s="191" t="s">
        <v>26</v>
      </c>
      <c r="AH88" s="193"/>
      <c r="AI88" s="190" t="s">
        <v>118</v>
      </c>
      <c r="AJ88" s="190" t="s">
        <v>117</v>
      </c>
      <c r="AK88" s="374" t="s">
        <v>26</v>
      </c>
      <c r="AL88" s="348" t="s">
        <v>151</v>
      </c>
      <c r="AM88" s="354"/>
      <c r="AN88" s="354"/>
      <c r="AO88" s="354"/>
      <c r="AP88" s="354">
        <f>IF(SUM(Q80:Q88)=SUM(AE80:AE88,AI80:AI88), 0, SUM(Q80:Q88)-SUM(AE80:AE88,AI80:AI88))</f>
        <v>0</v>
      </c>
      <c r="AQ88" s="350">
        <f>AM88+AN88+AO88+AP88</f>
        <v>0</v>
      </c>
      <c r="AR88" s="769"/>
      <c r="AS88" s="769"/>
      <c r="AT88" s="769"/>
      <c r="AW88" s="335"/>
      <c r="AX88" s="335"/>
      <c r="AY88" s="778"/>
      <c r="AZ88" s="335"/>
      <c r="BA88" s="335"/>
      <c r="BB88" s="335"/>
      <c r="BC88" s="335"/>
      <c r="BD88" s="335"/>
      <c r="BE88" s="335"/>
      <c r="BF88" s="335"/>
      <c r="BG88" s="778"/>
      <c r="BH88" s="335"/>
      <c r="BI88" s="335"/>
      <c r="BJ88" s="335"/>
      <c r="BK88" s="335"/>
      <c r="BM88" s="335"/>
      <c r="BN88" s="351"/>
      <c r="BO88" s="351"/>
      <c r="BP88"/>
      <c r="BQ88"/>
      <c r="BR88"/>
      <c r="BS88"/>
      <c r="BT88"/>
      <c r="BU88" s="335"/>
      <c r="BV88" s="335"/>
      <c r="BW88" s="335"/>
      <c r="BX88" s="335"/>
      <c r="BY88" s="335"/>
      <c r="BZ88" s="335"/>
      <c r="CA88" s="335"/>
      <c r="CB88" s="335"/>
      <c r="CC88" s="335"/>
      <c r="CD88" s="335"/>
      <c r="CE88" s="335"/>
      <c r="CF88" s="335"/>
      <c r="CG88" s="335"/>
      <c r="CH88" s="335"/>
      <c r="CI88" s="335"/>
    </row>
    <row r="89" spans="1:87" ht="22" customHeight="1">
      <c r="A89" s="181">
        <f t="shared" si="38"/>
        <v>45292</v>
      </c>
      <c r="B89" s="232" t="s">
        <v>74</v>
      </c>
      <c r="C89" s="233" t="s">
        <v>75</v>
      </c>
      <c r="D89" s="234" t="s">
        <v>76</v>
      </c>
      <c r="E89" s="235" t="s">
        <v>11</v>
      </c>
      <c r="F89" s="235" t="s">
        <v>4</v>
      </c>
      <c r="G89" s="235" t="s">
        <v>5</v>
      </c>
      <c r="H89" s="235" t="s">
        <v>6</v>
      </c>
      <c r="I89" s="236" t="s">
        <v>77</v>
      </c>
      <c r="J89" s="306"/>
      <c r="K89" s="501" t="str">
        <f t="shared" si="39"/>
        <v/>
      </c>
      <c r="L89" s="306" t="str">
        <f>IFERROR(VLOOKUP(B90,'Aktuelle Einnahmen'!A2:J104,10,0),"")</f>
        <v/>
      </c>
      <c r="M89" s="510" t="str">
        <f>M79</f>
        <v>Stufe C</v>
      </c>
      <c r="N89" s="237"/>
      <c r="O89" s="238"/>
      <c r="P89" s="238"/>
      <c r="Q89" s="239"/>
      <c r="R89" s="240"/>
      <c r="S89" s="241"/>
      <c r="T89" s="241"/>
      <c r="U89" s="242"/>
      <c r="V89" s="243"/>
      <c r="W89" s="241"/>
      <c r="X89" s="241"/>
      <c r="Y89" s="242"/>
      <c r="Z89" s="243"/>
      <c r="AA89" s="241"/>
      <c r="AB89" s="241"/>
      <c r="AC89" s="242"/>
      <c r="AD89" s="243"/>
      <c r="AE89" s="241"/>
      <c r="AF89" s="241"/>
      <c r="AG89" s="242"/>
      <c r="AH89" s="240"/>
      <c r="AI89" s="241"/>
      <c r="AJ89" s="241"/>
      <c r="AK89" s="377"/>
      <c r="AL89" s="347"/>
      <c r="AM89" s="353"/>
      <c r="AN89" s="353"/>
      <c r="AO89" s="353"/>
      <c r="AP89" s="353"/>
      <c r="AQ89" s="349"/>
      <c r="AR89" s="768"/>
      <c r="AS89" s="768"/>
      <c r="AT89" s="768"/>
      <c r="AW89" s="335"/>
      <c r="AX89" s="335"/>
      <c r="AY89" s="778"/>
      <c r="AZ89" s="335"/>
      <c r="BA89" s="335"/>
      <c r="BB89" s="335"/>
      <c r="BC89" s="335"/>
      <c r="BD89" s="335"/>
      <c r="BE89" s="335"/>
      <c r="BF89" s="335"/>
      <c r="BG89" s="778"/>
      <c r="BH89" s="335"/>
      <c r="BI89" s="335"/>
      <c r="BJ89" s="335"/>
      <c r="BK89" s="335"/>
      <c r="BM89" s="335"/>
      <c r="BN89" s="351"/>
      <c r="BO89" s="351"/>
      <c r="BP89"/>
      <c r="BQ89"/>
      <c r="BR89"/>
      <c r="BS89"/>
      <c r="BT89"/>
      <c r="BU89" s="335"/>
      <c r="BV89" s="335"/>
      <c r="BW89" s="335"/>
      <c r="BX89" s="335"/>
      <c r="BY89" s="335"/>
      <c r="BZ89" s="335"/>
      <c r="CA89" s="335"/>
      <c r="CB89" s="335"/>
      <c r="CC89" s="335"/>
      <c r="CD89" s="335"/>
      <c r="CE89" s="335"/>
      <c r="CF89" s="335"/>
      <c r="CG89" s="335"/>
      <c r="CH89" s="335"/>
      <c r="CI89" s="335"/>
    </row>
    <row r="90" spans="1:87" ht="23" customHeight="1">
      <c r="A90" s="181">
        <f t="shared" si="38"/>
        <v>45292</v>
      </c>
      <c r="B90" s="182">
        <v>9</v>
      </c>
      <c r="C90" s="183" t="str">
        <f>IFERROR(VLOOKUP($B90,'Aktuelle Einnahmen'!A2:G104,3,0),"")</f>
        <v>Irving</v>
      </c>
      <c r="D90" s="184" t="str">
        <f>IFERROR(VLOOKUP($B90,'Aktuelle Einnahmen'!A2:G104,2,0),"")</f>
        <v>Isabella</v>
      </c>
      <c r="E90" s="185" t="str">
        <f>IFERROR(VLOOKUP($B90,'Aktuelle Einnahmen'!A2:G104,4,0),"")</f>
        <v>10 XVII 413 / 21 I</v>
      </c>
      <c r="F90" s="94">
        <f>IFERROR(VLOOKUP($B90,'Aktuelle Einnahmen'!A2:G104,5,0),"")</f>
        <v>4</v>
      </c>
      <c r="G90" s="94">
        <f>IFERROR(VLOOKUP($B90,'Aktuelle Einnahmen'!A2:G104,6,0),"")</f>
        <v>5</v>
      </c>
      <c r="H90" s="94">
        <f>IFERROR(VLOOKUP($B90,'Aktuelle Einnahmen'!A2:G104,7,0),"")</f>
        <v>22</v>
      </c>
      <c r="I90" s="186">
        <f>DATE(H90,G90,F90)</f>
        <v>8160</v>
      </c>
      <c r="J90" s="472">
        <f ca="1">J80</f>
        <v>45475</v>
      </c>
      <c r="K90" s="506" t="str">
        <f t="shared" si="39"/>
        <v>+Inflat.-P</v>
      </c>
      <c r="L90" s="1262" t="str">
        <f>IFERROR(VLOOKUP(B90,'Aktuelle Einnahmen'!A2:I104,9,0),"")</f>
        <v>Vermögend und stationär</v>
      </c>
      <c r="M90" s="1263"/>
      <c r="N90" s="261"/>
      <c r="O90" s="261"/>
      <c r="P90" s="261"/>
      <c r="Q90" s="261"/>
      <c r="R90" s="189"/>
      <c r="S90" s="190"/>
      <c r="T90" s="190"/>
      <c r="U90" s="191"/>
      <c r="V90" s="192"/>
      <c r="W90" s="190"/>
      <c r="X90" s="190"/>
      <c r="Y90" s="191"/>
      <c r="Z90" s="192"/>
      <c r="AA90" s="190"/>
      <c r="AB90" s="190"/>
      <c r="AC90" s="191"/>
      <c r="AD90" s="192"/>
      <c r="AE90" s="190"/>
      <c r="AF90" s="190"/>
      <c r="AG90" s="191"/>
      <c r="AH90" s="193"/>
      <c r="AI90" s="190"/>
      <c r="AJ90" s="190"/>
      <c r="AK90" s="374"/>
      <c r="AL90" s="348"/>
      <c r="AM90" s="354"/>
      <c r="AN90" s="354"/>
      <c r="AO90" s="354"/>
      <c r="AP90" s="354"/>
      <c r="AQ90" s="350"/>
      <c r="AR90" s="769"/>
      <c r="AS90" s="769"/>
      <c r="AT90" s="769"/>
      <c r="AW90" s="351"/>
      <c r="AX90" s="351"/>
      <c r="AY90" s="779"/>
      <c r="AZ90" s="351"/>
      <c r="BA90" s="351"/>
      <c r="BB90" s="351"/>
      <c r="BC90" s="351"/>
      <c r="BD90" s="351"/>
      <c r="BE90" s="351"/>
      <c r="BF90" s="351"/>
      <c r="BG90" s="779"/>
      <c r="BH90" s="351"/>
      <c r="BI90" s="351"/>
      <c r="BJ90" s="351"/>
      <c r="BK90" s="351"/>
      <c r="BL90" s="351"/>
      <c r="BM90" s="351"/>
      <c r="BN90" s="351"/>
      <c r="BO90" s="351"/>
      <c r="BP90"/>
      <c r="BQ90"/>
      <c r="BR90"/>
      <c r="BS90"/>
      <c r="BT90"/>
      <c r="BU90" s="335"/>
      <c r="BV90" s="335"/>
      <c r="BW90" s="335"/>
      <c r="BX90" s="335"/>
      <c r="BY90" s="335"/>
      <c r="BZ90" s="335"/>
      <c r="CA90" s="335"/>
      <c r="CB90" s="335"/>
      <c r="CC90" s="335"/>
      <c r="CD90" s="335"/>
      <c r="CE90" s="335"/>
      <c r="CF90" s="335"/>
      <c r="CG90" s="335"/>
      <c r="CH90" s="335"/>
      <c r="CI90" s="335"/>
    </row>
    <row r="91" spans="1:87" ht="22.25" customHeight="1">
      <c r="A91" s="181">
        <f t="shared" si="38"/>
        <v>45292</v>
      </c>
      <c r="B91" s="484">
        <f>DAY(I90)</f>
        <v>4</v>
      </c>
      <c r="C91" s="489" t="s">
        <v>158</v>
      </c>
      <c r="D91" s="520">
        <f>(I91*4)+J91/3+1</f>
        <v>7</v>
      </c>
      <c r="E91" s="194">
        <f>J93+1</f>
        <v>45235</v>
      </c>
      <c r="F91" s="195">
        <f t="shared" ref="F91:F98" si="43">DAY(E91)</f>
        <v>5</v>
      </c>
      <c r="G91" s="196">
        <f t="shared" ref="G91:G98" si="44">MONTH(E91)</f>
        <v>11</v>
      </c>
      <c r="H91" s="195">
        <f t="shared" ref="H91:H98" si="45">YEAR(E91)</f>
        <v>2023</v>
      </c>
      <c r="I91" s="197">
        <f>H91-(H90+2000)</f>
        <v>1</v>
      </c>
      <c r="J91" s="198">
        <f>G91-G90</f>
        <v>6</v>
      </c>
      <c r="K91" s="506" t="str">
        <f>L89</f>
        <v/>
      </c>
      <c r="L91" s="469"/>
      <c r="M91" s="473" t="str">
        <f ca="1">SUM(J90-E92)&amp;" Tage"</f>
        <v>149 Tage</v>
      </c>
      <c r="N91" s="206"/>
      <c r="O91" s="201"/>
      <c r="P91" s="201"/>
      <c r="Q91" s="202"/>
      <c r="R91" s="189"/>
      <c r="S91" s="203"/>
      <c r="T91" s="203"/>
      <c r="U91" s="204"/>
      <c r="V91" s="192"/>
      <c r="W91" s="203"/>
      <c r="X91" s="203"/>
      <c r="Y91" s="204"/>
      <c r="Z91" s="192"/>
      <c r="AA91" s="203"/>
      <c r="AB91" s="203"/>
      <c r="AC91" s="204"/>
      <c r="AD91" s="192"/>
      <c r="AE91" s="203"/>
      <c r="AF91" s="203"/>
      <c r="AG91" s="204"/>
      <c r="AH91" s="193"/>
      <c r="AI91" s="203"/>
      <c r="AJ91" s="203"/>
      <c r="AK91" s="375"/>
      <c r="AL91" s="348"/>
      <c r="AM91" s="354"/>
      <c r="AN91" s="354"/>
      <c r="AO91" s="354"/>
      <c r="AP91" s="354"/>
      <c r="AQ91" s="350"/>
      <c r="AR91" s="769"/>
      <c r="AS91" s="769"/>
      <c r="AT91" s="769"/>
      <c r="AW91" s="351"/>
      <c r="AX91" s="351"/>
      <c r="AY91" s="779"/>
      <c r="AZ91" s="351"/>
      <c r="BA91" s="351"/>
      <c r="BB91" s="351"/>
      <c r="BC91" s="351"/>
      <c r="BD91" s="351"/>
      <c r="BE91" s="351"/>
      <c r="BF91" s="351"/>
      <c r="BG91" s="779"/>
      <c r="BH91" s="351"/>
      <c r="BI91" s="351"/>
      <c r="BJ91" s="351"/>
      <c r="BK91" s="351"/>
      <c r="BL91" s="351"/>
      <c r="BM91" s="351"/>
      <c r="BN91" s="351"/>
      <c r="BO91" s="351"/>
      <c r="BP91"/>
      <c r="BQ91"/>
      <c r="BR91"/>
      <c r="BS91"/>
      <c r="BT91"/>
      <c r="BU91" s="335"/>
      <c r="BV91" s="335"/>
      <c r="BW91" s="335"/>
      <c r="BX91" s="335"/>
      <c r="BY91" s="335"/>
      <c r="BZ91" s="335"/>
      <c r="CA91" s="335"/>
      <c r="CB91" s="335"/>
      <c r="CC91" s="335"/>
      <c r="CD91" s="335"/>
      <c r="CE91" s="335"/>
      <c r="CF91" s="335"/>
      <c r="CG91" s="335"/>
      <c r="CH91" s="335"/>
      <c r="CI91" s="335"/>
    </row>
    <row r="92" spans="1:87" ht="22.25" customHeight="1">
      <c r="A92" s="181">
        <f t="shared" si="38"/>
        <v>45292</v>
      </c>
      <c r="B92" s="485"/>
      <c r="C92" s="490"/>
      <c r="D92" s="521"/>
      <c r="E92" s="194">
        <f>DATE(YEAR(E91),MONTH(E91)+3,DAY(E91)-1)</f>
        <v>45326</v>
      </c>
      <c r="F92" s="195">
        <f t="shared" si="43"/>
        <v>4</v>
      </c>
      <c r="G92" s="196">
        <f t="shared" si="44"/>
        <v>2</v>
      </c>
      <c r="H92" s="195">
        <f t="shared" si="45"/>
        <v>2024</v>
      </c>
      <c r="I92" s="244">
        <v>-1</v>
      </c>
      <c r="J92" s="198">
        <f>F91-F90</f>
        <v>1</v>
      </c>
      <c r="K92" s="506" t="str">
        <f t="shared" si="39"/>
        <v>+Inflat.-P</v>
      </c>
      <c r="L92" s="511">
        <f>IF(M89="Stufe A",IF(AND(L90="Auswahl treffen",D91&gt;=0,D91&lt;=1000),J89,IF(AND(L90="Vermögend und ambulant",D91&gt;8,D91&lt;=1000),130,IF(AND(L90="Vermögend und ambulant",D91&gt;4,D91&lt;=8),158,IF(AND(L90="Vermögend und ambulant",D91&gt;2,D91&lt;=4),192,IF(AND(L90="Vermögend und ambulant",D91&gt;1,D91&lt;=2),208,IF(AND(L90="Vermögend und ambulant",D91&gt;0,D91&lt;=1),298,IF(AND(L90="Vermögend und stationär",D91&gt;8,D91&lt;=1000),78,IF(AND(L90="Vermögend und stationär",D91&gt;4,D91&lt;=8),91,IF(AND(L90="Vermögend und stationär",D91&gt;2,D91&lt;=4),140,IF(AND(L90="Vermögend und stationär",D91&gt;1,D91&lt;=2),158,IF(AND(L90="Vermögend und stationär",D91&gt;0,D91&lt;=1),200,IF(AND(L90="Mittellos und ambulant",D91&gt;8,D91&lt;=1000),105,IF(AND(L90="Mittellos und ambulant",D91&gt;4,D91&lt;=8),122,IF(AND(L90="Mittellos und ambulant",D91&gt;2,D91&lt;=4),151,IF(AND(L90="Mittellos und ambulant",D91&gt;1,D91&lt;=2),170,IF(AND(L90="Mittellos und ambulant",D91&gt;0,D91&lt;=1),208,IF(AND(L90="Mittellos und stationär",D91&gt;8,D91&lt;=1000),62,IF(AND(L90="Mittellos und stationär",D91&gt;4,D91&lt;=8),87,IF(AND(L90="Mittellos und stationär",D91&gt;2,D91&lt;=4),124,IF(AND(L90="Mittellos und stationär",D91&gt;1,D91&lt;=2),129,IF(AND(L90="Mittellos und stationär",D91&gt;0,D91&lt;=1),194,""))))))))))))))))))))),IF(M89="Stufe B",IF(AND(L90="Auswahl treffen",D91&gt;=0,D91&lt;=1000),J89,IF(AND(L90="Vermögend und ambulant",D91&gt;8,D91&lt;=1000),161,IF(AND(L90="Vermögend und ambulant",D91&gt;4,D91&lt;=8),196,IF(AND(L90="Vermögend und ambulant",D91&gt;2,D91&lt;=4),238,IF(AND(L90="Vermögend und ambulant",D91&gt;1,D91&lt;=2),258,IF(AND(L90="Vermögend und ambulant",D91&gt;0,D91&lt;=1),370,IF(AND(L90="Vermögend und stationär",D91&gt;8,D91&lt;=1000),96,IF(AND(L90="Vermögend und stationär",D91&gt;4,D91&lt;=8),113,IF(AND(L90="Vermögend und stationär",D91&gt;2,D91&lt;=4),174,IF(AND(L90="Vermögend und stationär",D91&gt;1,D91&lt;=2),196,IF(AND(L90="Vermögend und stationär",D91&gt;0,D91&lt;=1),249,IF(AND(L90="Mittellos und ambulant",D91&gt;8,D91&lt;=1000),130,IF(AND(L90="Mittellos und ambulant",D91&gt;4,D91&lt;=8),151,IF(AND(L90="Mittellos und ambulant",D91&gt;2,D91&lt;=4),188,IF(AND(L90="Mittellos und ambulant",D91&gt;1,D91&lt;=2),211,IF(AND(L90="Mittellos und ambulant",D91&gt;0,D91&lt;=1),258,IF(AND(L90="Mittellos und stationär",D91&gt;8,D91&lt;=1000),78,IF(AND(L90="Mittellos und stationär",D91&gt;4,D91&lt;=8),107,IF(AND(L90="Mittellos und stationär",D91&gt;2,D91&lt;=4),154,IF(AND(L90="Mittellos und stationär",D91&gt;1,D91&lt;=2),158,IF(AND(L90="Mittellos und stationär",D91&gt;0,D91&lt;=1),241,""))))))))))))))))))))),IF(M89="Stufe C",IF(AND(L90="Auswahl treffen",D91&gt;=0,D91&lt;=1000),J89,IF(AND(L90="Vermögend und ambulant",D91&gt;8,D91&lt;=1000),211,IF(AND(L90="Vermögend und ambulant",D91&gt;4,D91&lt;=8),257,IF(AND(L90="Vermögend und ambulant",D91&gt;2,D91&lt;=4),312,IF(AND(L90="Vermögend und ambulant",D91&gt;1,D91&lt;=2),339,IF(AND(L90="Vermögend und ambulant",D91&gt;0,D91&lt;=1),486,IF(AND(L90="Vermögend und stationär",D91&gt;8,D91&lt;=1000),127,IF(AND(L90="Vermögend und stationär",D91&gt;4,D91&lt;=8),149,IF(AND(L90="Vermögend und stationär",D91&gt;2,D91&lt;=4),229,IF(AND(L90="Vermögend und stationär",D91&gt;1,D91&lt;=2),257,IF(AND(L90="Vermögend und stationär",D91&gt;0,D91&lt;=1),327,IF(AND(L90="Mittellos und ambulant",D91&gt;8,D91&lt;=1000),171,IF(AND(L90="Mittellos und ambulant",D91&gt;4,D91&lt;=8),198,IF(AND(L90="Mittellos und ambulant",D91&gt;2,D91&lt;=4),246,IF(AND(L90="Mittellos und ambulant",D91&gt;1,D91&lt;=2),277,IF(AND(L90="Mittellos und ambulant",D91&gt;0,D91&lt;=1),339,IF(AND(L90="Mittellos und stationär",D91&gt;8,D91&lt;=1000),102,IF(AND(L90="Mittellos und stationär",D91&gt;4,D91&lt;=8),141,IF(AND(L90="Mittellos und stationär",D91&gt;2,D91&lt;=4),202,IF(AND(L90="Mittellos und stationär",D91&gt;1,D91&lt;=2),208,IF(AND(L90="Mittellos und stationär",D91&gt;0,D91&lt;=1),317,""))))))))))))))))))))),"")))*3+(J89*90)</f>
        <v>447</v>
      </c>
      <c r="M92" s="507" t="str">
        <f>CONCATENATE(K92, K91)</f>
        <v>+Inflat.-P</v>
      </c>
      <c r="N92" s="206" t="s">
        <v>118</v>
      </c>
      <c r="O92" s="207"/>
      <c r="P92" s="207"/>
      <c r="Q92" s="208"/>
      <c r="R92" s="187"/>
      <c r="S92" s="209" t="s">
        <v>118</v>
      </c>
      <c r="T92" s="201" t="s">
        <v>117</v>
      </c>
      <c r="U92" s="210" t="s">
        <v>26</v>
      </c>
      <c r="V92" s="192"/>
      <c r="W92" s="203"/>
      <c r="X92" s="203"/>
      <c r="Y92" s="210"/>
      <c r="Z92" s="192"/>
      <c r="AA92" s="203"/>
      <c r="AB92" s="203"/>
      <c r="AC92" s="210"/>
      <c r="AD92" s="192"/>
      <c r="AE92" s="203"/>
      <c r="AF92" s="203"/>
      <c r="AG92" s="210"/>
      <c r="AH92" s="193"/>
      <c r="AI92" s="203"/>
      <c r="AJ92" s="203"/>
      <c r="AK92" s="376"/>
      <c r="AL92" s="348" t="s">
        <v>148</v>
      </c>
      <c r="AM92" s="354">
        <f>IF(SUM(N90:N98)=SUM(S90:S98), 0, SUM(N90:N98)-SUM(S90:S98))</f>
        <v>0</v>
      </c>
      <c r="AN92" s="354"/>
      <c r="AO92" s="354"/>
      <c r="AP92" s="354"/>
      <c r="AQ92" s="350">
        <f>AM92+AN92+AO92+AP92</f>
        <v>0</v>
      </c>
      <c r="AR92" s="769"/>
      <c r="AS92" s="769"/>
      <c r="AT92" s="769"/>
      <c r="AW92"/>
      <c r="AX92"/>
      <c r="AY92" s="280"/>
      <c r="AZ92"/>
      <c r="BA92"/>
      <c r="BB92"/>
      <c r="BC92"/>
      <c r="BD92"/>
      <c r="BE92"/>
      <c r="BF92"/>
      <c r="BG92" s="280"/>
      <c r="BH92"/>
      <c r="BI92"/>
      <c r="BJ92"/>
      <c r="BK92"/>
      <c r="BL92"/>
      <c r="BM92"/>
      <c r="BN92"/>
      <c r="BO92"/>
      <c r="BP92"/>
      <c r="BQ92"/>
      <c r="BR92"/>
      <c r="BS92"/>
      <c r="BT92"/>
      <c r="BU92" s="335"/>
      <c r="BV92" s="335"/>
      <c r="BW92" s="335"/>
      <c r="BX92" s="335"/>
      <c r="BY92" s="335"/>
      <c r="BZ92" s="335"/>
      <c r="CA92" s="335"/>
      <c r="CB92" s="335"/>
      <c r="CC92" s="335"/>
      <c r="CD92" s="335"/>
      <c r="CE92" s="335"/>
      <c r="CF92" s="335"/>
      <c r="CG92" s="335"/>
      <c r="CH92" s="335"/>
      <c r="CI92" s="335"/>
    </row>
    <row r="93" spans="1:87" ht="22.25" customHeight="1">
      <c r="A93" s="181">
        <f t="shared" si="38"/>
        <v>45292</v>
      </c>
      <c r="B93" s="484">
        <f>MONTH(I90)</f>
        <v>5</v>
      </c>
      <c r="C93" s="489" t="s">
        <v>158</v>
      </c>
      <c r="D93" s="522">
        <f>D91+1</f>
        <v>8</v>
      </c>
      <c r="E93" s="211">
        <f>DATE(YEAR(E92),MONTH(E92),DAY(E92)+1)</f>
        <v>45327</v>
      </c>
      <c r="F93" s="212">
        <f t="shared" si="43"/>
        <v>5</v>
      </c>
      <c r="G93" s="213">
        <f t="shared" si="44"/>
        <v>2</v>
      </c>
      <c r="H93" s="212">
        <f t="shared" si="45"/>
        <v>2024</v>
      </c>
      <c r="I93" s="214" t="str">
        <f>IF(D90&lt;&gt;0,"-1T","")</f>
        <v>-1T</v>
      </c>
      <c r="J93" s="215">
        <f>DATE($B95,I94,$B91)</f>
        <v>45234</v>
      </c>
      <c r="K93" s="501" t="str">
        <f t="shared" si="39"/>
        <v/>
      </c>
      <c r="L93" s="470"/>
      <c r="M93" s="473" t="str">
        <f ca="1">SUM(J90-E94)&amp;" Tage"</f>
        <v>59 Tage</v>
      </c>
      <c r="N93" s="216"/>
      <c r="O93" s="217"/>
      <c r="P93" s="188"/>
      <c r="Q93" s="217"/>
      <c r="R93" s="189"/>
      <c r="S93" s="190"/>
      <c r="T93" s="190"/>
      <c r="U93" s="191"/>
      <c r="V93" s="192"/>
      <c r="W93" s="190"/>
      <c r="X93" s="190"/>
      <c r="Y93" s="191"/>
      <c r="Z93" s="192"/>
      <c r="AA93" s="190"/>
      <c r="AB93" s="190"/>
      <c r="AC93" s="191"/>
      <c r="AD93" s="192"/>
      <c r="AE93" s="190"/>
      <c r="AF93" s="190"/>
      <c r="AG93" s="191"/>
      <c r="AH93" s="193"/>
      <c r="AI93" s="190"/>
      <c r="AJ93" s="190"/>
      <c r="AK93" s="374"/>
      <c r="AL93" s="348"/>
      <c r="AM93" s="354"/>
      <c r="AN93" s="354"/>
      <c r="AO93" s="354"/>
      <c r="AP93" s="354"/>
      <c r="AQ93" s="350"/>
      <c r="AR93" s="769"/>
      <c r="AS93" s="769"/>
      <c r="AT93" s="769"/>
      <c r="AW93"/>
      <c r="AX93"/>
      <c r="AY93" s="280"/>
      <c r="AZ93"/>
      <c r="BA93"/>
      <c r="BB93"/>
      <c r="BC93"/>
      <c r="BD93"/>
      <c r="BE93"/>
      <c r="BF93"/>
      <c r="BG93" s="280"/>
      <c r="BH93"/>
      <c r="BI93"/>
      <c r="BJ93"/>
      <c r="BK93"/>
      <c r="BL93"/>
      <c r="BM93"/>
      <c r="BN93"/>
      <c r="BO93"/>
      <c r="BP93"/>
      <c r="BQ93"/>
      <c r="BR93"/>
      <c r="BS93"/>
      <c r="BT93"/>
      <c r="BU93" s="335"/>
      <c r="BV93" s="335"/>
      <c r="BW93" s="335"/>
      <c r="BX93" s="335"/>
      <c r="BY93" s="335"/>
      <c r="BZ93" s="335"/>
      <c r="CA93" s="335"/>
      <c r="CB93" s="335"/>
      <c r="CC93" s="335"/>
      <c r="CD93" s="335"/>
      <c r="CE93" s="335"/>
      <c r="CF93" s="335"/>
      <c r="CG93" s="335"/>
      <c r="CH93" s="335"/>
      <c r="CI93" s="335"/>
    </row>
    <row r="94" spans="1:87" ht="22.25" customHeight="1">
      <c r="A94" s="181">
        <f t="shared" si="38"/>
        <v>45292</v>
      </c>
      <c r="B94" s="485"/>
      <c r="C94" s="490"/>
      <c r="D94" s="521"/>
      <c r="E94" s="218">
        <f>DATE(YEAR(E93),MONTH(E93)+3,DAY(E93)-1)</f>
        <v>45416</v>
      </c>
      <c r="F94" s="212">
        <f t="shared" si="43"/>
        <v>4</v>
      </c>
      <c r="G94" s="213">
        <f t="shared" si="44"/>
        <v>5</v>
      </c>
      <c r="H94" s="212">
        <f t="shared" si="45"/>
        <v>2024</v>
      </c>
      <c r="I94" s="219">
        <f>MAX(I95:I98)</f>
        <v>11</v>
      </c>
      <c r="J94" s="220">
        <f>DATE(YEAR(J93)+1,MONTH(J93),DAY(J93))</f>
        <v>45600</v>
      </c>
      <c r="K94" s="506" t="str">
        <f t="shared" si="39"/>
        <v>+Inflat.-P</v>
      </c>
      <c r="L94" s="508">
        <f>IF(M89="Stufe A",IF(AND(L90="Auswahl treffen",D93&gt;=0,D93&lt;=1000),J89,IF(AND(L90="Vermögend und ambulant",D93&gt;8,D93&lt;=1000),130,IF(AND(L90="Vermögend und ambulant",D93&gt;4,D93&lt;=8),158,IF(AND(L90="Vermögend und ambulant",D93&gt;2,D93&lt;=4),192,IF(AND(L90="Vermögend und ambulant",D93&gt;1,D93&lt;=2),208,IF(AND(L90="Vermögend und ambulant",D93&gt;0,D93&lt;=1),298,IF(AND(L90="Vermögend und stationär",D93&gt;8,D93&lt;=1000),78,IF(AND(L90="Vermögend und stationär",D93&gt;4,D93&lt;=8),91,IF(AND(L90="Vermögend und stationär",D93&gt;2,D93&lt;=4),140,IF(AND(L90="Vermögend und stationär",D93&gt;1,D93&lt;=2),158,IF(AND(L90="Vermögend und stationär",D93&gt;0,D93&lt;=1),200,IF(AND(L90="Mittellos und ambulant",D93&gt;8,D93&lt;=1000),105,IF(AND(L90="Mittellos und ambulant",D93&gt;4,D93&lt;=8),122,IF(AND(L90="Mittellos und ambulant",D93&gt;2,D93&lt;=4),151,IF(AND(L90="Mittellos und ambulant",D93&gt;1,D93&lt;=2),170,IF(AND(L90="Mittellos und ambulant",D93&gt;0,D93&lt;=1),208,IF(AND(L90="Mittellos und stationär",D93&gt;8,D93&lt;=1000),62,IF(AND(L90="Mittellos und stationär",D93&gt;4,D93&lt;=8),87,IF(AND(L90="Mittellos und stationär",D93&gt;2,D93&lt;=4),124,IF(AND(L90="Mittellos und stationär",D93&gt;1,D93&lt;=2),129,IF(AND(L90="Mittellos und stationär",D93&gt;0,D93&lt;=1),194,""))))))))))))))))))))),IF(M89="Stufe B",IF(AND(L90="Auswahl treffen",D93&gt;=0,D93&lt;=1000),J89,IF(AND(L90="Vermögend und ambulant",D93&gt;8,D93&lt;=1000),161,IF(AND(L90="Vermögend und ambulant",D93&gt;4,D93&lt;=8),196,IF(AND(L90="Vermögend und ambulant",D93&gt;2,D93&lt;=4),238,IF(AND(L90="Vermögend und ambulant",D93&gt;1,D93&lt;=2),258,IF(AND(L90="Vermögend und ambulant",D93&gt;0,D93&lt;=1),370,IF(AND(L90="Vermögend und stationär",D93&gt;8,D93&lt;=1000),96,IF(AND(L90="Vermögend und stationär",D93&gt;4,D93&lt;=8),113,IF(AND(L90="Vermögend und stationär",D93&gt;2,D93&lt;=4),174,IF(AND(L90="Vermögend und stationär",D93&gt;1,D93&lt;=2),196,IF(AND(L90="Vermögend und stationär",D93&gt;0,D93&lt;=1),249,IF(AND(L90="Mittellos und ambulant",D93&gt;8,D93&lt;=1000),130,IF(AND(L90="Mittellos und ambulant",D93&gt;4,D93&lt;=8),151,IF(AND(L90="Mittellos und ambulant",D93&gt;2,D93&lt;=4),188,IF(AND(L90="Mittellos und ambulant",D93&gt;1,D93&lt;=2),211,IF(AND(L90="Mittellos und ambulant",D93&gt;0,D93&lt;=1),258,IF(AND(L90="Mittellos und stationär",D93&gt;8,D93&lt;=1000),78,IF(AND(L90="Mittellos und stationär",D93&gt;4,D93&lt;=8),107,IF(AND(L90="Mittellos und stationär",D93&gt;2,D93&lt;=4),154,IF(AND(L90="Mittellos und stationär",D93&gt;1,D93&lt;=2),158,IF(AND(L90="Mittellos und stationär",D93&gt;0,D93&lt;=1),241,""))))))))))))))))))))),IF(M89="Stufe C",IF(AND(L90="Auswahl treffen",D93&gt;=0,D93&lt;=1000),J89,IF(AND(L90="Vermögend und ambulant",D93&gt;8,D93&lt;=1000),211,IF(AND(L90="Vermögend und ambulant",D93&gt;4,D93&lt;=8),257,IF(AND(L90="Vermögend und ambulant",D93&gt;2,D93&lt;=4),312,IF(AND(L90="Vermögend und ambulant",D93&gt;1,D93&lt;=2),339,IF(AND(L90="Vermögend und ambulant",D93&gt;0,D93&lt;=1),486,IF(AND(L90="Vermögend und stationär",D93&gt;8,D93&lt;=1000),127,IF(AND(L90="Vermögend und stationär",D93&gt;4,D93&lt;=8),149,IF(AND(L90="Vermögend und stationär",D93&gt;2,D93&lt;=4),229,IF(AND(L90="Vermögend und stationär",D93&gt;1,D93&lt;=2),257,IF(AND(L90="Vermögend und stationär",D93&gt;0,D93&lt;=1),327,IF(AND(L90="Mittellos und ambulant",D93&gt;8,D93&lt;=1000),171,IF(AND(L90="Mittellos und ambulant",D93&gt;4,D93&lt;=8),198,IF(AND(L90="Mittellos und ambulant",D93&gt;2,D93&lt;=4),246,IF(AND(L90="Mittellos und ambulant",D93&gt;1,D93&lt;=2),277,IF(AND(L90="Mittellos und ambulant",D93&gt;0,D93&lt;=1),339,IF(AND(L90="Mittellos und stationär",D93&gt;8,D93&lt;=1000),102,IF(AND(L90="Mittellos und stationär",D93&gt;4,D93&lt;=8),141,IF(AND(L90="Mittellos und stationär",D93&gt;2,D93&lt;=4),202,IF(AND(L90="Mittellos und stationär",D93&gt;1,D93&lt;=2),208,IF(AND(L90="Mittellos und stationär",D93&gt;0,D93&lt;=1),317,""))))))))))))))))))))),"")))*3+(J89*90)</f>
        <v>447</v>
      </c>
      <c r="M94" s="507" t="str">
        <f>CONCATENATE(K94, K93)</f>
        <v>+Inflat.-P</v>
      </c>
      <c r="N94" s="216"/>
      <c r="O94" s="188" t="s">
        <v>118</v>
      </c>
      <c r="P94" s="188"/>
      <c r="Q94" s="221"/>
      <c r="R94" s="199"/>
      <c r="S94" s="190"/>
      <c r="T94" s="190"/>
      <c r="U94" s="191"/>
      <c r="V94" s="192"/>
      <c r="W94" s="222" t="s">
        <v>118</v>
      </c>
      <c r="X94" s="222" t="s">
        <v>117</v>
      </c>
      <c r="Y94" s="191" t="s">
        <v>26</v>
      </c>
      <c r="Z94" s="192"/>
      <c r="AA94" s="190"/>
      <c r="AB94" s="190"/>
      <c r="AC94" s="191"/>
      <c r="AD94" s="192"/>
      <c r="AE94" s="190"/>
      <c r="AF94" s="190"/>
      <c r="AG94" s="191"/>
      <c r="AH94" s="193"/>
      <c r="AI94" s="190"/>
      <c r="AJ94" s="190"/>
      <c r="AK94" s="374"/>
      <c r="AL94" s="348" t="s">
        <v>149</v>
      </c>
      <c r="AM94" s="354"/>
      <c r="AN94" s="354">
        <f>IF(SUM(O90:O98)=SUM(W90:W98), 0, SUM(O90:O98)-SUM(W90:W98))</f>
        <v>0</v>
      </c>
      <c r="AO94" s="354"/>
      <c r="AP94" s="354"/>
      <c r="AQ94" s="350">
        <f>AM94+AN94+AO94+AP94</f>
        <v>0</v>
      </c>
      <c r="AR94" s="769"/>
      <c r="AS94" s="769"/>
      <c r="AT94" s="769"/>
      <c r="AW94"/>
      <c r="AX94"/>
      <c r="AY94" s="280"/>
      <c r="AZ94"/>
      <c r="BA94"/>
      <c r="BB94"/>
      <c r="BC94"/>
      <c r="BD94"/>
      <c r="BE94"/>
      <c r="BF94"/>
      <c r="BG94" s="280"/>
      <c r="BH94"/>
      <c r="BI94"/>
      <c r="BJ94"/>
      <c r="BK94"/>
      <c r="BL94"/>
      <c r="BM94"/>
      <c r="BN94"/>
      <c r="BO94"/>
      <c r="BP94"/>
      <c r="BQ94"/>
      <c r="BR94"/>
      <c r="BS94"/>
      <c r="BT94"/>
      <c r="BU94" s="335"/>
      <c r="BV94" s="335"/>
      <c r="BW94" s="335"/>
      <c r="BX94" s="335"/>
      <c r="BY94" s="335"/>
      <c r="BZ94" s="335"/>
      <c r="CA94" s="335"/>
      <c r="CB94" s="335"/>
      <c r="CC94" s="335"/>
      <c r="CD94" s="335"/>
      <c r="CE94" s="335"/>
      <c r="CF94" s="335"/>
      <c r="CG94" s="335"/>
      <c r="CH94" s="335"/>
      <c r="CI94" s="335"/>
    </row>
    <row r="95" spans="1:87" ht="22.25" customHeight="1">
      <c r="A95" s="181">
        <f t="shared" si="38"/>
        <v>45292</v>
      </c>
      <c r="B95" s="484">
        <f>YEAR($A96)-1</f>
        <v>2023</v>
      </c>
      <c r="C95" s="489" t="s">
        <v>158</v>
      </c>
      <c r="D95" s="520">
        <f>D93+1</f>
        <v>9</v>
      </c>
      <c r="E95" s="194">
        <f>DATE(YEAR(E94),MONTH(E94),DAY(E94)+1)</f>
        <v>45417</v>
      </c>
      <c r="F95" s="195">
        <f t="shared" si="43"/>
        <v>5</v>
      </c>
      <c r="G95" s="196">
        <f t="shared" si="44"/>
        <v>5</v>
      </c>
      <c r="H95" s="195">
        <f t="shared" si="45"/>
        <v>2024</v>
      </c>
      <c r="I95" s="223" t="str">
        <f>IF(J97&lt;13,J97,"")</f>
        <v/>
      </c>
      <c r="J95" s="224">
        <f>G90</f>
        <v>5</v>
      </c>
      <c r="K95" s="501" t="str">
        <f t="shared" si="39"/>
        <v/>
      </c>
      <c r="L95" s="471"/>
      <c r="M95" s="473" t="str">
        <f ca="1">SUM(J90-E96)&amp;" Tage"</f>
        <v>-33 Tage</v>
      </c>
      <c r="N95" s="200"/>
      <c r="O95" s="201"/>
      <c r="P95" s="201"/>
      <c r="Q95" s="202"/>
      <c r="R95" s="189"/>
      <c r="S95" s="203"/>
      <c r="T95" s="203"/>
      <c r="U95" s="204"/>
      <c r="V95" s="192"/>
      <c r="W95" s="203"/>
      <c r="X95" s="203"/>
      <c r="Y95" s="204"/>
      <c r="Z95" s="192"/>
      <c r="AA95" s="203"/>
      <c r="AB95" s="203"/>
      <c r="AC95" s="204"/>
      <c r="AD95" s="192"/>
      <c r="AE95" s="203"/>
      <c r="AF95" s="203"/>
      <c r="AG95" s="204"/>
      <c r="AH95" s="193"/>
      <c r="AI95" s="203"/>
      <c r="AJ95" s="203"/>
      <c r="AK95" s="375"/>
      <c r="AL95" s="348"/>
      <c r="AM95" s="354"/>
      <c r="AN95" s="354"/>
      <c r="AO95" s="354"/>
      <c r="AP95" s="354"/>
      <c r="AQ95" s="350"/>
      <c r="AR95" s="769"/>
      <c r="AS95" s="769"/>
      <c r="AT95" s="769"/>
      <c r="AW95"/>
      <c r="AX95"/>
      <c r="AY95" s="280"/>
      <c r="AZ95"/>
      <c r="BA95"/>
      <c r="BB95"/>
      <c r="BC95"/>
      <c r="BD95"/>
      <c r="BE95"/>
      <c r="BF95"/>
      <c r="BG95" s="280"/>
      <c r="BH95"/>
      <c r="BI95"/>
      <c r="BJ95"/>
      <c r="BK95"/>
      <c r="BL95"/>
      <c r="BM95"/>
      <c r="BN95"/>
      <c r="BO95"/>
      <c r="BP95"/>
      <c r="BQ95"/>
      <c r="BR95"/>
      <c r="BS95"/>
      <c r="BT95"/>
      <c r="BU95" s="335"/>
      <c r="BV95" s="335"/>
      <c r="BW95" s="335"/>
      <c r="BX95" s="335"/>
      <c r="BY95" s="335"/>
      <c r="BZ95" s="335"/>
      <c r="CA95" s="335"/>
      <c r="CB95" s="335"/>
      <c r="CC95" s="335"/>
      <c r="CD95" s="335"/>
      <c r="CE95" s="335"/>
      <c r="CF95" s="335"/>
      <c r="CG95" s="335"/>
      <c r="CH95" s="335"/>
      <c r="CI95" s="335"/>
    </row>
    <row r="96" spans="1:87" ht="22.25" customHeight="1">
      <c r="A96" s="181">
        <f t="shared" si="38"/>
        <v>45292</v>
      </c>
      <c r="B96" s="485"/>
      <c r="C96" s="490"/>
      <c r="D96" s="521"/>
      <c r="E96" s="194">
        <f>DATE(YEAR(E95),MONTH(E95)+3,DAY(E95)-1)</f>
        <v>45508</v>
      </c>
      <c r="F96" s="195">
        <f t="shared" si="43"/>
        <v>4</v>
      </c>
      <c r="G96" s="196">
        <f t="shared" si="44"/>
        <v>8</v>
      </c>
      <c r="H96" s="195">
        <f t="shared" si="45"/>
        <v>2024</v>
      </c>
      <c r="I96" s="244">
        <f>IF(J98&lt;13,J98,"")</f>
        <v>11</v>
      </c>
      <c r="J96" s="224">
        <f>J95+3</f>
        <v>8</v>
      </c>
      <c r="K96" s="501" t="str">
        <f t="shared" si="39"/>
        <v>+Inflat.-P</v>
      </c>
      <c r="L96" s="511">
        <f>IF(M89="Stufe A",IF(AND(L90="Auswahl treffen",D95&gt;=0,D95&lt;=1000),J89,IF(AND(L90="Vermögend und ambulant",D95&gt;8,D95&lt;=1000),130,IF(AND(L90="Vermögend und ambulant",D95&gt;4,D95&lt;=8),158,IF(AND(L90="Vermögend und ambulant",D95&gt;2,D95&lt;=4),192,IF(AND(L90="Vermögend und ambulant",D95&gt;1,D95&lt;=2),208,IF(AND(L90="Vermögend und ambulant",D95&gt;0,D95&lt;=1),298,IF(AND(L90="Vermögend und stationär",D95&gt;8,D95&lt;=1000),78,IF(AND(L90="Vermögend und stationär",D95&gt;4,D95&lt;=8),91,IF(AND(L90="Vermögend und stationär",D95&gt;2,D95&lt;=4),140,IF(AND(L90="Vermögend und stationär",D95&gt;1,D95&lt;=2),158,IF(AND(L90="Vermögend und stationär",D95&gt;0,D95&lt;=1),200,IF(AND(L90="Mittellos und ambulant",D95&gt;8,D95&lt;=1000),105,IF(AND(L90="Mittellos und ambulant",D95&gt;4,D95&lt;=8),122,IF(AND(L90="Mittellos und ambulant",D95&gt;2,D95&lt;=4),151,IF(AND(L90="Mittellos und ambulant",D95&gt;1,D95&lt;=2),170,IF(AND(L90="Mittellos und ambulant",D95&gt;0,D95&lt;=1),208,IF(AND(L90="Mittellos und stationär",D95&gt;8,D95&lt;=1000),62,IF(AND(L90="Mittellos und stationär",D95&gt;4,D95&lt;=8),87,IF(AND(L90="Mittellos und stationär",D95&gt;2,D95&lt;=4),124,IF(AND(L90="Mittellos und stationär",D95&gt;1,D95&lt;=2),129,IF(AND(L90="Mittellos und stationär",D95&gt;0,D95&lt;=1),194,""))))))))))))))))))))),IF(M89="Stufe B",IF(AND(L90="Auswahl treffen",D95&gt;=0,D95&lt;=1000),J89,IF(AND(L90="Vermögend und ambulant",D95&gt;8,D95&lt;=1000),161,IF(AND(L90="Vermögend und ambulant",D95&gt;4,D95&lt;=8),196,IF(AND(L90="Vermögend und ambulant",D95&gt;2,D95&lt;=4),238,IF(AND(L90="Vermögend und ambulant",D95&gt;1,D95&lt;=2),258,IF(AND(L90="Vermögend und ambulant",D95&gt;0,D95&lt;=1),370,IF(AND(L90="Vermögend und stationär",D95&gt;8,D95&lt;=1000),96,IF(AND(L90="Vermögend und stationär",D95&gt;4,D95&lt;=8),113,IF(AND(L90="Vermögend und stationär",D95&gt;2,D95&lt;=4),174,IF(AND(L90="Vermögend und stationär",D95&gt;1,D95&lt;=2),196,IF(AND(L90="Vermögend und stationär",D95&gt;0,D95&lt;=1),249,IF(AND(L90="Mittellos und ambulant",D95&gt;8,D95&lt;=1000),130,IF(AND(L90="Mittellos und ambulant",D95&gt;4,D95&lt;=8),151,IF(AND(L90="Mittellos und ambulant",D95&gt;2,D95&lt;=4),188,IF(AND(L90="Mittellos und ambulant",D95&gt;1,D95&lt;=2),211,IF(AND(L90="Mittellos und ambulant",D95&gt;0,D95&lt;=1),258,IF(AND(L90="Mittellos und stationär",D95&gt;8,D95&lt;=1000),78,IF(AND(L90="Mittellos und stationär",D95&gt;4,D95&lt;=8),107,IF(AND(L90="Mittellos und stationär",D95&gt;2,D95&lt;=4),154,IF(AND(L90="Mittellos und stationär",D95&gt;1,D95&lt;=2),158,IF(AND(L90="Mittellos und stationär",D95&gt;0,D95&lt;=1),241,""))))))))))))))))))))),IF(M89="Stufe C",IF(AND(L90="Auswahl treffen",D95&gt;=0,D95&lt;=1000),J89,IF(AND(L90="Vermögend und ambulant",D95&gt;8,D95&lt;=1000),211,IF(AND(L90="Vermögend und ambulant",D95&gt;4,D95&lt;=8),257,IF(AND(L90="Vermögend und ambulant",D95&gt;2,D95&lt;=4),312,IF(AND(L90="Vermögend und ambulant",D95&gt;1,D95&lt;=2),339,IF(AND(L90="Vermögend und ambulant",D95&gt;0,D95&lt;=1),486,IF(AND(L90="Vermögend und stationär",D95&gt;8,D95&lt;=1000),127,IF(AND(L90="Vermögend und stationär",D95&gt;4,D95&lt;=8),149,IF(AND(L90="Vermögend und stationär",D95&gt;2,D95&lt;=4),229,IF(AND(L90="Vermögend und stationär",D95&gt;1,D95&lt;=2),257,IF(AND(L90="Vermögend und stationär",D95&gt;0,D95&lt;=1),327,IF(AND(L90="Mittellos und ambulant",D95&gt;8,D95&lt;=1000),171,IF(AND(L90="Mittellos und ambulant",D95&gt;4,D95&lt;=8),198,IF(AND(L90="Mittellos und ambulant",D95&gt;2,D95&lt;=4),246,IF(AND(L90="Mittellos und ambulant",D95&gt;1,D95&lt;=2),277,IF(AND(L90="Mittellos und ambulant",D95&gt;0,D95&lt;=1),339,IF(AND(L90="Mittellos und stationär",D95&gt;8,D95&lt;=1000),102,IF(AND(L90="Mittellos und stationär",D95&gt;4,D95&lt;=8),141,IF(AND(L90="Mittellos und stationär",D95&gt;2,D95&lt;=4),202,IF(AND(L90="Mittellos und stationär",D95&gt;1,D95&lt;=2),208,IF(AND(L90="Mittellos und stationär",D95&gt;0,D95&lt;=1),317,""))))))))))))))))))))),"")))*3+(J89*90)</f>
        <v>381</v>
      </c>
      <c r="M96" s="507" t="str">
        <f>CONCATENATE(K96, K95)</f>
        <v>+Inflat.-P</v>
      </c>
      <c r="N96" s="206"/>
      <c r="O96" s="207"/>
      <c r="P96" s="206" t="s">
        <v>118</v>
      </c>
      <c r="Q96" s="226"/>
      <c r="R96" s="189"/>
      <c r="S96" s="203"/>
      <c r="T96" s="203"/>
      <c r="U96" s="204"/>
      <c r="V96" s="192"/>
      <c r="W96" s="203"/>
      <c r="X96" s="203"/>
      <c r="Y96" s="204"/>
      <c r="Z96" s="192"/>
      <c r="AA96" s="209" t="s">
        <v>118</v>
      </c>
      <c r="AB96" s="209" t="s">
        <v>117</v>
      </c>
      <c r="AC96" s="204" t="s">
        <v>26</v>
      </c>
      <c r="AD96" s="192"/>
      <c r="AE96" s="203"/>
      <c r="AF96" s="203"/>
      <c r="AG96" s="204"/>
      <c r="AH96" s="193"/>
      <c r="AI96" s="203"/>
      <c r="AJ96" s="203"/>
      <c r="AK96" s="375"/>
      <c r="AL96" s="348" t="s">
        <v>150</v>
      </c>
      <c r="AM96" s="354"/>
      <c r="AN96" s="354"/>
      <c r="AO96" s="354">
        <f>IF(SUM(P90:P98)=SUM(AA90:AA98), 0, SUM(P90:P98)-SUM(AA90:AA98))</f>
        <v>0</v>
      </c>
      <c r="AP96" s="354"/>
      <c r="AQ96" s="350">
        <f>AM96+AN96+AO96+AP96</f>
        <v>0</v>
      </c>
      <c r="AR96" s="769"/>
      <c r="AS96" s="769"/>
      <c r="AT96" s="769"/>
      <c r="AW96"/>
      <c r="AX96"/>
      <c r="AY96" s="280"/>
      <c r="AZ96"/>
      <c r="BA96"/>
      <c r="BB96"/>
      <c r="BC96"/>
      <c r="BD96"/>
      <c r="BE96"/>
      <c r="BF96"/>
      <c r="BG96" s="280"/>
      <c r="BH96"/>
      <c r="BI96"/>
      <c r="BJ96"/>
      <c r="BK96"/>
      <c r="BL96"/>
      <c r="BM96"/>
      <c r="BN96"/>
      <c r="BO96"/>
      <c r="BP96"/>
      <c r="BQ96"/>
      <c r="BR96"/>
      <c r="BS96"/>
      <c r="BT96"/>
      <c r="BU96" s="335"/>
      <c r="BV96" s="335"/>
      <c r="BW96" s="335"/>
      <c r="BX96" s="335"/>
      <c r="BY96" s="335"/>
      <c r="BZ96" s="335"/>
      <c r="CA96" s="335"/>
      <c r="CB96" s="335"/>
      <c r="CC96" s="335"/>
      <c r="CD96" s="335"/>
      <c r="CE96" s="335"/>
      <c r="CF96" s="335"/>
      <c r="CG96" s="335"/>
      <c r="CH96" s="335"/>
      <c r="CI96" s="335"/>
    </row>
    <row r="97" spans="1:87" ht="22.25" customHeight="1">
      <c r="A97" s="181">
        <f t="shared" si="38"/>
        <v>45292</v>
      </c>
      <c r="B97" s="486"/>
      <c r="C97" s="489" t="s">
        <v>158</v>
      </c>
      <c r="D97" s="522">
        <f>D95+1</f>
        <v>10</v>
      </c>
      <c r="E97" s="211">
        <f>DATE(YEAR(E96),MONTH(E96),DAY(E96)+1)</f>
        <v>45509</v>
      </c>
      <c r="F97" s="227">
        <f t="shared" si="43"/>
        <v>5</v>
      </c>
      <c r="G97" s="228">
        <f t="shared" si="44"/>
        <v>8</v>
      </c>
      <c r="H97" s="227">
        <f t="shared" si="45"/>
        <v>2024</v>
      </c>
      <c r="I97" s="231">
        <f>IF(J96&lt;13,J96,"")</f>
        <v>8</v>
      </c>
      <c r="J97" s="230">
        <f>J98+3</f>
        <v>14</v>
      </c>
      <c r="K97" s="506" t="str">
        <f t="shared" si="39"/>
        <v/>
      </c>
      <c r="L97" s="471"/>
      <c r="M97" s="473" t="str">
        <f ca="1">SUM(J90-E98)&amp;" Tage"</f>
        <v>-125 Tage</v>
      </c>
      <c r="N97" s="216"/>
      <c r="O97" s="188"/>
      <c r="P97" s="188"/>
      <c r="Q97" s="217"/>
      <c r="R97" s="189"/>
      <c r="S97" s="190"/>
      <c r="T97" s="190"/>
      <c r="U97" s="191"/>
      <c r="V97" s="192"/>
      <c r="W97" s="190"/>
      <c r="X97" s="190"/>
      <c r="Y97" s="191"/>
      <c r="Z97" s="192"/>
      <c r="AA97" s="190"/>
      <c r="AB97" s="190"/>
      <c r="AC97" s="191"/>
      <c r="AD97" s="192"/>
      <c r="AE97" s="190"/>
      <c r="AF97" s="190"/>
      <c r="AG97" s="191"/>
      <c r="AH97" s="193"/>
      <c r="AI97" s="190"/>
      <c r="AJ97" s="190"/>
      <c r="AK97" s="374"/>
      <c r="AL97" s="348"/>
      <c r="AM97" s="354"/>
      <c r="AN97" s="354"/>
      <c r="AO97" s="354"/>
      <c r="AP97" s="354"/>
      <c r="AQ97" s="350"/>
      <c r="AR97" s="769"/>
      <c r="AS97" s="769"/>
      <c r="AT97" s="769"/>
      <c r="AW97"/>
      <c r="AX97"/>
      <c r="AY97" s="280"/>
      <c r="AZ97"/>
      <c r="BA97"/>
      <c r="BB97"/>
      <c r="BC97"/>
      <c r="BD97"/>
      <c r="BE97"/>
      <c r="BF97"/>
      <c r="BG97" s="280"/>
      <c r="BH97"/>
      <c r="BI97"/>
      <c r="BJ97"/>
      <c r="BK97"/>
      <c r="BL97"/>
      <c r="BM97"/>
      <c r="BN97"/>
      <c r="BO97"/>
      <c r="BP97"/>
      <c r="BQ97"/>
      <c r="BR97"/>
      <c r="BS97"/>
      <c r="BT97"/>
      <c r="BU97" s="335"/>
      <c r="BV97" s="335"/>
      <c r="BW97" s="335"/>
      <c r="BX97" s="335"/>
      <c r="BY97" s="335"/>
      <c r="BZ97" s="335"/>
      <c r="CA97" s="335"/>
      <c r="CB97" s="335"/>
      <c r="CC97" s="335"/>
      <c r="CD97" s="335"/>
      <c r="CE97" s="335"/>
      <c r="CF97" s="335"/>
      <c r="CG97" s="335"/>
      <c r="CH97" s="335"/>
      <c r="CI97" s="335"/>
    </row>
    <row r="98" spans="1:87" ht="22.25" customHeight="1">
      <c r="A98" s="181">
        <f t="shared" si="38"/>
        <v>45292</v>
      </c>
      <c r="B98" s="485"/>
      <c r="C98" s="490"/>
      <c r="D98" s="521"/>
      <c r="E98" s="218">
        <f>DATE(YEAR(E97),MONTH(E97)+3,DAY(E97)-1)</f>
        <v>45600</v>
      </c>
      <c r="F98" s="227">
        <f t="shared" si="43"/>
        <v>4</v>
      </c>
      <c r="G98" s="228">
        <f t="shared" si="44"/>
        <v>11</v>
      </c>
      <c r="H98" s="227">
        <f t="shared" si="45"/>
        <v>2024</v>
      </c>
      <c r="I98" s="231">
        <f>IF(J95&lt;13,J95,"")</f>
        <v>5</v>
      </c>
      <c r="J98" s="230">
        <f>J96+3</f>
        <v>11</v>
      </c>
      <c r="K98" s="501" t="str">
        <f t="shared" si="39"/>
        <v>+Inflat.-P</v>
      </c>
      <c r="L98" s="508">
        <f>IF(M89="Stufe A",IF(AND(L90="Auswahl treffen",D97&gt;=0,D97&lt;=1000),J89,IF(AND(L90="Vermögend und ambulant",D97&gt;8,D97&lt;=1000),130,IF(AND(L90="Vermögend und ambulant",D97&gt;4,D97&lt;=8),158,IF(AND(L90="Vermögend und ambulant",D97&gt;2,D97&lt;=4),192,IF(AND(L90="Vermögend und ambulant",D97&gt;1,D97&lt;=2),208,IF(AND(L90="Vermögend und ambulant",D97&gt;0,D97&lt;=1),298,IF(AND(L90="Vermögend und stationär",D97&gt;8,D97&lt;=1000),78,IF(AND(L90="Vermögend und stationär",D97&gt;4,D97&lt;=8),91,IF(AND(L90="Vermögend und stationär",D97&gt;2,D97&lt;=4),140,IF(AND(L90="Vermögend und stationär",D97&gt;1,D97&lt;=2),158,IF(AND(L90="Vermögend und stationär",D97&gt;0,D97&lt;=1),200,IF(AND(L90="Mittellos und ambulant",D97&gt;8,D97&lt;=1000),105,IF(AND(L90="Mittellos und ambulant",D97&gt;4,D97&lt;=8),122,IF(AND(L90="Mittellos und ambulant",D97&gt;2,D97&lt;=4),151,IF(AND(L90="Mittellos und ambulant",D97&gt;1,D97&lt;=2),170,IF(AND(L90="Mittellos und ambulant",D97&gt;0,D97&lt;=1),208,IF(AND(L90="Mittellos und stationär",D97&gt;8,D97&lt;=1000),62,IF(AND(L90="Mittellos und stationär",D97&gt;4,D97&lt;=8),87,IF(AND(L90="Mittellos und stationär",D97&gt;2,D97&lt;=4),124,IF(AND(L90="Mittellos und stationär",D97&gt;1,D97&lt;=2),129,IF(AND(L90="Mittellos und stationär",D97&gt;0,D97&lt;=1),194,""))))))))))))))))))))),IF(M89="Stufe B",IF(AND(L90="Auswahl treffen",D97&gt;=0,D97&lt;=1000),J89,IF(AND(L90="Vermögend und ambulant",D97&gt;8,D97&lt;=1000),161,IF(AND(L90="Vermögend und ambulant",D97&gt;4,D97&lt;=8),196,IF(AND(L90="Vermögend und ambulant",D97&gt;2,D97&lt;=4),238,IF(AND(L90="Vermögend und ambulant",D97&gt;1,D97&lt;=2),258,IF(AND(L90="Vermögend und ambulant",D97&gt;0,D97&lt;=1),370,IF(AND(L90="Vermögend und stationär",D97&gt;8,D97&lt;=1000),96,IF(AND(L90="Vermögend und stationär",D97&gt;4,D97&lt;=8),113,IF(AND(L90="Vermögend und stationär",D97&gt;2,D97&lt;=4),174,IF(AND(L90="Vermögend und stationär",D97&gt;1,D97&lt;=2),196,IF(AND(L90="Vermögend und stationär",D97&gt;0,D97&lt;=1),249,IF(AND(L90="Mittellos und ambulant",D97&gt;8,D97&lt;=1000),130,IF(AND(L90="Mittellos und ambulant",D97&gt;4,D97&lt;=8),151,IF(AND(L90="Mittellos und ambulant",D97&gt;2,D97&lt;=4),188,IF(AND(L90="Mittellos und ambulant",D97&gt;1,D97&lt;=2),211,IF(AND(L90="Mittellos und ambulant",D97&gt;0,D97&lt;=1),258,IF(AND(L90="Mittellos und stationär",D97&gt;8,D97&lt;=1000),78,IF(AND(L90="Mittellos und stationär",D97&gt;4,D97&lt;=8),107,IF(AND(L90="Mittellos und stationär",D97&gt;2,D97&lt;=4),154,IF(AND(L90="Mittellos und stationär",D97&gt;1,D97&lt;=2),158,IF(AND(L90="Mittellos und stationär",D97&gt;0,D97&lt;=1),241,""))))))))))))))))))))),IF(M89="Stufe C",IF(AND(L90="Auswahl treffen",D97&gt;=0,D97&lt;=1000),J89,IF(AND(L90="Vermögend und ambulant",D97&gt;8,D97&lt;=1000),211,IF(AND(L90="Vermögend und ambulant",D97&gt;4,D97&lt;=8),257,IF(AND(L90="Vermögend und ambulant",D97&gt;2,D97&lt;=4),312,IF(AND(L90="Vermögend und ambulant",D97&gt;1,D97&lt;=2),339,IF(AND(L90="Vermögend und ambulant",D97&gt;0,D97&lt;=1),486,IF(AND(L90="Vermögend und stationär",D97&gt;8,D97&lt;=1000),127,IF(AND(L90="Vermögend und stationär",D97&gt;4,D97&lt;=8),149,IF(AND(L90="Vermögend und stationär",D97&gt;2,D97&lt;=4),229,IF(AND(L90="Vermögend und stationär",D97&gt;1,D97&lt;=2),257,IF(AND(L90="Vermögend und stationär",D97&gt;0,D97&lt;=1),327,IF(AND(L90="Mittellos und ambulant",D97&gt;8,D97&lt;=1000),171,IF(AND(L90="Mittellos und ambulant",D97&gt;4,D97&lt;=8),198,IF(AND(L90="Mittellos und ambulant",D97&gt;2,D97&lt;=4),246,IF(AND(L90="Mittellos und ambulant",D97&gt;1,D97&lt;=2),277,IF(AND(L90="Mittellos und ambulant",D97&gt;0,D97&lt;=1),339,IF(AND(L90="Mittellos und stationär",D97&gt;8,D97&lt;=1000),102,IF(AND(L90="Mittellos und stationär",D97&gt;4,D97&lt;=8),141,IF(AND(L90="Mittellos und stationär",D97&gt;2,D97&lt;=4),202,IF(AND(L90="Mittellos und stationär",D97&gt;1,D97&lt;=2),208,IF(AND(L90="Mittellos und stationär",D97&gt;0,D97&lt;=1),317,""))))))))))))))))))))),"")))*3+(J89*90)</f>
        <v>381</v>
      </c>
      <c r="M98" s="507" t="str">
        <f>CONCATENATE(K98, K97)</f>
        <v>+Inflat.-P</v>
      </c>
      <c r="N98" s="216"/>
      <c r="O98" s="188"/>
      <c r="P98" s="188"/>
      <c r="Q98" s="217" t="s">
        <v>118</v>
      </c>
      <c r="R98" s="189"/>
      <c r="S98" s="190"/>
      <c r="T98" s="190"/>
      <c r="U98" s="191"/>
      <c r="V98" s="192"/>
      <c r="W98" s="190"/>
      <c r="X98" s="190"/>
      <c r="Y98" s="191"/>
      <c r="Z98" s="192"/>
      <c r="AA98" s="190"/>
      <c r="AB98" s="190"/>
      <c r="AC98" s="191"/>
      <c r="AD98" s="192"/>
      <c r="AE98" s="190" t="s">
        <v>118</v>
      </c>
      <c r="AF98" s="190" t="s">
        <v>117</v>
      </c>
      <c r="AG98" s="191" t="s">
        <v>26</v>
      </c>
      <c r="AH98" s="193"/>
      <c r="AI98" s="190" t="s">
        <v>118</v>
      </c>
      <c r="AJ98" s="190" t="s">
        <v>117</v>
      </c>
      <c r="AK98" s="374" t="s">
        <v>26</v>
      </c>
      <c r="AL98" s="348" t="s">
        <v>151</v>
      </c>
      <c r="AM98" s="354"/>
      <c r="AN98" s="354"/>
      <c r="AO98" s="354"/>
      <c r="AP98" s="354">
        <f>IF(SUM(Q90:Q98)=SUM(AE90:AE98,AI90:AI98), 0, SUM(Q90:Q98)-SUM(AE90:AE98,AI90:AI98))</f>
        <v>0</v>
      </c>
      <c r="AQ98" s="350">
        <f>AM98+AN98+AO98+AP98</f>
        <v>0</v>
      </c>
      <c r="AR98" s="769"/>
      <c r="AS98" s="769"/>
      <c r="AT98" s="769"/>
      <c r="AW98"/>
      <c r="AX98"/>
      <c r="AY98" s="280"/>
      <c r="AZ98"/>
      <c r="BA98"/>
      <c r="BB98"/>
      <c r="BC98"/>
      <c r="BD98"/>
      <c r="BE98"/>
      <c r="BF98"/>
      <c r="BG98" s="280"/>
      <c r="BH98"/>
      <c r="BI98"/>
      <c r="BJ98"/>
      <c r="BK98"/>
      <c r="BL98"/>
      <c r="BM98"/>
      <c r="BN98"/>
      <c r="BO98"/>
      <c r="BP98"/>
      <c r="BQ98"/>
      <c r="BR98"/>
      <c r="BS98"/>
      <c r="BT98"/>
      <c r="BU98" s="335"/>
      <c r="BV98" s="335"/>
      <c r="BW98" s="335"/>
      <c r="BX98" s="335"/>
      <c r="BY98" s="335"/>
      <c r="BZ98" s="335"/>
      <c r="CA98" s="335"/>
      <c r="CB98" s="335"/>
      <c r="CC98" s="335"/>
      <c r="CD98" s="335"/>
      <c r="CE98" s="335"/>
      <c r="CF98" s="335"/>
      <c r="CG98" s="335"/>
      <c r="CH98" s="335"/>
      <c r="CI98" s="335"/>
    </row>
    <row r="99" spans="1:87" ht="22" customHeight="1">
      <c r="A99" s="181">
        <f t="shared" si="38"/>
        <v>45292</v>
      </c>
      <c r="B99" s="232" t="s">
        <v>74</v>
      </c>
      <c r="C99" s="233" t="s">
        <v>75</v>
      </c>
      <c r="D99" s="234" t="s">
        <v>76</v>
      </c>
      <c r="E99" s="235" t="s">
        <v>11</v>
      </c>
      <c r="F99" s="235" t="s">
        <v>4</v>
      </c>
      <c r="G99" s="235" t="s">
        <v>5</v>
      </c>
      <c r="H99" s="235" t="s">
        <v>6</v>
      </c>
      <c r="I99" s="236" t="s">
        <v>77</v>
      </c>
      <c r="J99" s="479"/>
      <c r="K99" s="506" t="str">
        <f t="shared" si="39"/>
        <v/>
      </c>
      <c r="L99" s="479" t="str">
        <f>IFERROR(VLOOKUP(B100,'Aktuelle Einnahmen'!A2:J104,10,0),"")</f>
        <v/>
      </c>
      <c r="M99" s="512" t="str">
        <f>M89</f>
        <v>Stufe C</v>
      </c>
      <c r="N99" s="237"/>
      <c r="O99" s="238"/>
      <c r="P99" s="238"/>
      <c r="Q99" s="239"/>
      <c r="R99" s="240"/>
      <c r="S99" s="241"/>
      <c r="T99" s="241"/>
      <c r="U99" s="242"/>
      <c r="V99" s="243"/>
      <c r="W99" s="241"/>
      <c r="X99" s="241"/>
      <c r="Y99" s="242"/>
      <c r="Z99" s="243"/>
      <c r="AA99" s="241"/>
      <c r="AB99" s="241"/>
      <c r="AC99" s="242"/>
      <c r="AD99" s="243"/>
      <c r="AE99" s="241"/>
      <c r="AF99" s="241"/>
      <c r="AG99" s="242"/>
      <c r="AH99" s="240"/>
      <c r="AI99" s="241"/>
      <c r="AJ99" s="241"/>
      <c r="AK99" s="377"/>
      <c r="AL99" s="347"/>
      <c r="AM99" s="353"/>
      <c r="AN99" s="353"/>
      <c r="AO99" s="353"/>
      <c r="AP99" s="353"/>
      <c r="AQ99" s="349"/>
      <c r="AR99" s="768"/>
      <c r="AS99" s="768"/>
      <c r="AT99" s="768"/>
      <c r="AW99"/>
      <c r="AX99"/>
      <c r="AY99" s="280"/>
      <c r="AZ99"/>
      <c r="BA99"/>
      <c r="BB99"/>
      <c r="BC99"/>
      <c r="BD99"/>
      <c r="BE99"/>
      <c r="BF99"/>
      <c r="BG99" s="280"/>
      <c r="BH99"/>
      <c r="BI99"/>
      <c r="BJ99"/>
      <c r="BK99"/>
      <c r="BL99"/>
      <c r="BM99"/>
      <c r="BN99"/>
      <c r="BO99"/>
      <c r="BP99"/>
      <c r="BQ99"/>
      <c r="BR99"/>
      <c r="BS99"/>
      <c r="BT99"/>
      <c r="BU99" s="335"/>
      <c r="BV99" s="335"/>
      <c r="BW99" s="335"/>
      <c r="BX99" s="335"/>
      <c r="BY99" s="335"/>
      <c r="BZ99" s="335"/>
      <c r="CA99" s="335"/>
      <c r="CB99" s="335"/>
      <c r="CC99" s="335"/>
      <c r="CD99" s="335"/>
      <c r="CE99" s="335"/>
      <c r="CF99" s="335"/>
      <c r="CG99" s="335"/>
      <c r="CH99" s="335"/>
      <c r="CI99" s="335"/>
    </row>
    <row r="100" spans="1:87" ht="23" customHeight="1">
      <c r="A100" s="181">
        <f t="shared" si="38"/>
        <v>45292</v>
      </c>
      <c r="B100" s="182">
        <v>10</v>
      </c>
      <c r="C100" s="183" t="str">
        <f>IFERROR(VLOOKUP($B100,'Aktuelle Einnahmen'!A2:G104,3,0),"")</f>
        <v>Johnson</v>
      </c>
      <c r="D100" s="184" t="str">
        <f>IFERROR(VLOOKUP($B100,'Aktuelle Einnahmen'!A2:G104,2,0),"")</f>
        <v>Jack</v>
      </c>
      <c r="E100" s="185" t="str">
        <f>IFERROR(VLOOKUP($B100,'Aktuelle Einnahmen'!A2:G104,4,0),"")</f>
        <v>10 XVII 36/16 J</v>
      </c>
      <c r="F100" s="94">
        <f>IFERROR(VLOOKUP($B100,'Aktuelle Einnahmen'!A2:G104,5,0),"")</f>
        <v>7</v>
      </c>
      <c r="G100" s="94">
        <f>IFERROR(VLOOKUP($B100,'Aktuelle Einnahmen'!A2:G104,6,0),"")</f>
        <v>5</v>
      </c>
      <c r="H100" s="94">
        <f>IFERROR(VLOOKUP($B100,'Aktuelle Einnahmen'!A2:G104,7,0),"")</f>
        <v>22</v>
      </c>
      <c r="I100" s="186">
        <f>DATE(H100,G100,F100)</f>
        <v>8163</v>
      </c>
      <c r="J100" s="472">
        <f ca="1">J90</f>
        <v>45475</v>
      </c>
      <c r="K100" s="501" t="str">
        <f t="shared" si="39"/>
        <v>+Inflat.-P</v>
      </c>
      <c r="L100" s="1262" t="str">
        <f>IFERROR(VLOOKUP(B100,'Aktuelle Einnahmen'!A2:I104,9,0),"")</f>
        <v>Mittellos und stationär</v>
      </c>
      <c r="M100" s="1264"/>
      <c r="N100" s="261"/>
      <c r="O100" s="261"/>
      <c r="P100" s="261"/>
      <c r="Q100" s="261"/>
      <c r="R100" s="189"/>
      <c r="S100" s="190"/>
      <c r="T100" s="190"/>
      <c r="U100" s="191"/>
      <c r="V100" s="192"/>
      <c r="W100" s="190"/>
      <c r="X100" s="190"/>
      <c r="Y100" s="191"/>
      <c r="Z100" s="192"/>
      <c r="AA100" s="190"/>
      <c r="AB100" s="190"/>
      <c r="AC100" s="191"/>
      <c r="AD100" s="192"/>
      <c r="AE100" s="190"/>
      <c r="AF100" s="190"/>
      <c r="AG100" s="191"/>
      <c r="AH100" s="193"/>
      <c r="AI100" s="190"/>
      <c r="AJ100" s="190"/>
      <c r="AK100" s="374"/>
      <c r="AL100" s="348"/>
      <c r="AM100" s="354"/>
      <c r="AN100" s="354"/>
      <c r="AO100" s="354"/>
      <c r="AP100" s="354"/>
      <c r="AQ100" s="350"/>
      <c r="AR100" s="769"/>
      <c r="AS100" s="769"/>
      <c r="AT100" s="769"/>
      <c r="AW100"/>
      <c r="AX100"/>
      <c r="AY100" s="280"/>
      <c r="AZ100"/>
      <c r="BA100"/>
      <c r="BB100"/>
      <c r="BC100"/>
      <c r="BD100"/>
      <c r="BE100"/>
      <c r="BF100"/>
      <c r="BG100" s="280"/>
      <c r="BH100"/>
      <c r="BI100"/>
      <c r="BJ100"/>
      <c r="BK100"/>
      <c r="BL100"/>
      <c r="BM100"/>
      <c r="BN100"/>
      <c r="BO100"/>
      <c r="BP100"/>
      <c r="BQ100"/>
      <c r="BR100"/>
      <c r="BS100"/>
      <c r="BT100"/>
      <c r="BU100" s="335"/>
      <c r="BV100" s="335"/>
      <c r="BW100" s="335"/>
      <c r="BX100" s="335"/>
      <c r="BY100" s="335"/>
      <c r="BZ100" s="335"/>
      <c r="CA100" s="335"/>
      <c r="CB100" s="335"/>
      <c r="CC100" s="335"/>
      <c r="CD100" s="335"/>
      <c r="CE100" s="335"/>
      <c r="CF100" s="335"/>
      <c r="CG100" s="335"/>
      <c r="CH100" s="335"/>
      <c r="CI100" s="335"/>
    </row>
    <row r="101" spans="1:87" ht="22.25" customHeight="1">
      <c r="A101" s="181">
        <f t="shared" si="38"/>
        <v>45292</v>
      </c>
      <c r="B101" s="484">
        <f>DAY(I100)</f>
        <v>7</v>
      </c>
      <c r="C101" s="489" t="s">
        <v>158</v>
      </c>
      <c r="D101" s="520">
        <f>(I101*4)+J101/3+1</f>
        <v>7</v>
      </c>
      <c r="E101" s="194">
        <f>J103+1</f>
        <v>45238</v>
      </c>
      <c r="F101" s="195">
        <f t="shared" ref="F101:F108" si="46">DAY(E101)</f>
        <v>8</v>
      </c>
      <c r="G101" s="196">
        <f t="shared" ref="G101:G108" si="47">MONTH(E101)</f>
        <v>11</v>
      </c>
      <c r="H101" s="195">
        <f t="shared" ref="H101:H108" si="48">YEAR(E101)</f>
        <v>2023</v>
      </c>
      <c r="I101" s="197">
        <f>H101-(H100+2000)</f>
        <v>1</v>
      </c>
      <c r="J101" s="198">
        <f>G101-G100</f>
        <v>6</v>
      </c>
      <c r="K101" s="506" t="str">
        <f>L99</f>
        <v/>
      </c>
      <c r="L101" s="469"/>
      <c r="M101" s="473" t="str">
        <f ca="1">SUM(J100-E102)&amp;" Tage"</f>
        <v>146 Tage</v>
      </c>
      <c r="N101" s="206"/>
      <c r="O101" s="201"/>
      <c r="P101" s="201"/>
      <c r="Q101" s="202"/>
      <c r="R101" s="189"/>
      <c r="S101" s="203"/>
      <c r="T101" s="203"/>
      <c r="U101" s="204"/>
      <c r="V101" s="192"/>
      <c r="W101" s="203"/>
      <c r="X101" s="203"/>
      <c r="Y101" s="204"/>
      <c r="Z101" s="192"/>
      <c r="AA101" s="203"/>
      <c r="AB101" s="203"/>
      <c r="AC101" s="204"/>
      <c r="AD101" s="192"/>
      <c r="AE101" s="203"/>
      <c r="AF101" s="203"/>
      <c r="AG101" s="204"/>
      <c r="AH101" s="193"/>
      <c r="AI101" s="203"/>
      <c r="AJ101" s="203"/>
      <c r="AK101" s="375"/>
      <c r="AL101" s="348"/>
      <c r="AM101" s="354"/>
      <c r="AN101" s="354"/>
      <c r="AO101" s="354"/>
      <c r="AP101" s="354"/>
      <c r="AQ101" s="350"/>
      <c r="AR101" s="769"/>
      <c r="AS101" s="769"/>
      <c r="AT101" s="769"/>
      <c r="AW101"/>
      <c r="AX101"/>
      <c r="AY101" s="280"/>
      <c r="AZ101"/>
      <c r="BA101"/>
      <c r="BB101"/>
      <c r="BC101"/>
      <c r="BD101"/>
      <c r="BE101"/>
      <c r="BF101"/>
      <c r="BG101" s="280"/>
      <c r="BH101"/>
      <c r="BI101"/>
      <c r="BJ101"/>
      <c r="BK101"/>
      <c r="BL101"/>
      <c r="BM101"/>
      <c r="BN101"/>
      <c r="BO101"/>
      <c r="BP101"/>
      <c r="BQ101"/>
      <c r="BR101"/>
      <c r="BS101"/>
      <c r="BT101"/>
      <c r="BU101" s="335"/>
      <c r="BV101" s="335"/>
      <c r="BW101" s="335"/>
      <c r="BX101" s="335"/>
      <c r="BY101" s="335"/>
      <c r="BZ101" s="335"/>
      <c r="CA101" s="335"/>
      <c r="CB101" s="335"/>
      <c r="CC101" s="335"/>
      <c r="CD101" s="335"/>
      <c r="CE101" s="335"/>
      <c r="CF101" s="335"/>
      <c r="CG101" s="335"/>
      <c r="CH101" s="335"/>
      <c r="CI101" s="335"/>
    </row>
    <row r="102" spans="1:87" ht="22.25" customHeight="1">
      <c r="A102" s="181">
        <f t="shared" si="38"/>
        <v>45292</v>
      </c>
      <c r="B102" s="485"/>
      <c r="C102" s="490"/>
      <c r="D102" s="521"/>
      <c r="E102" s="194">
        <f>DATE(YEAR(E101),MONTH(E101)+3,DAY(E101)-1)</f>
        <v>45329</v>
      </c>
      <c r="F102" s="195">
        <f t="shared" si="46"/>
        <v>7</v>
      </c>
      <c r="G102" s="196">
        <f t="shared" si="47"/>
        <v>2</v>
      </c>
      <c r="H102" s="195">
        <f t="shared" si="48"/>
        <v>2024</v>
      </c>
      <c r="I102" s="244">
        <v>-1</v>
      </c>
      <c r="J102" s="198">
        <f>F101-F100</f>
        <v>1</v>
      </c>
      <c r="K102" s="501" t="str">
        <f t="shared" si="39"/>
        <v>+Inflat.-P</v>
      </c>
      <c r="L102" s="511">
        <f>IF(M99="Stufe A",IF(AND(L100="Auswahl treffen",D101&gt;=0,D101&lt;=1000),J99,IF(AND(L100="Vermögend und ambulant",D101&gt;8,D101&lt;=1000),130,IF(AND(L100="Vermögend und ambulant",D101&gt;4,D101&lt;=8),158,IF(AND(L100="Vermögend und ambulant",D101&gt;2,D101&lt;=4),192,IF(AND(L100="Vermögend und ambulant",D101&gt;1,D101&lt;=2),208,IF(AND(L100="Vermögend und ambulant",D101&gt;0,D101&lt;=1),298,IF(AND(L100="Vermögend und stationär",D101&gt;8,D101&lt;=1000),78,IF(AND(L100="Vermögend und stationär",D101&gt;4,D101&lt;=8),91,IF(AND(L100="Vermögend und stationär",D101&gt;2,D101&lt;=4),140,IF(AND(L100="Vermögend und stationär",D101&gt;1,D101&lt;=2),158,IF(AND(L100="Vermögend und stationär",D101&gt;0,D101&lt;=1),200,IF(AND(L100="Mittellos und ambulant",D101&gt;8,D101&lt;=1000),105,IF(AND(L100="Mittellos und ambulant",D101&gt;4,D101&lt;=8),122,IF(AND(L100="Mittellos und ambulant",D101&gt;2,D101&lt;=4),151,IF(AND(L100="Mittellos und ambulant",D101&gt;1,D101&lt;=2),170,IF(AND(L100="Mittellos und ambulant",D101&gt;0,D101&lt;=1),208,IF(AND(L100="Mittellos und stationär",D101&gt;8,D101&lt;=1000),62,IF(AND(L100="Mittellos und stationär",D101&gt;4,D101&lt;=8),87,IF(AND(L100="Mittellos und stationär",D101&gt;2,D101&lt;=4),124,IF(AND(L100="Mittellos und stationär",D101&gt;1,D101&lt;=2),129,IF(AND(L100="Mittellos und stationär",D101&gt;0,D101&lt;=1),194,""))))))))))))))))))))),IF(M99="Stufe B",IF(AND(L100="Auswahl treffen",D101&gt;=0,D101&lt;=1000),J99,IF(AND(L100="Vermögend und ambulant",D101&gt;8,D101&lt;=1000),161,IF(AND(L100="Vermögend und ambulant",D101&gt;4,D101&lt;=8),196,IF(AND(L100="Vermögend und ambulant",D101&gt;2,D101&lt;=4),238,IF(AND(L100="Vermögend und ambulant",D101&gt;1,D101&lt;=2),258,IF(AND(L100="Vermögend und ambulant",D101&gt;0,D101&lt;=1),370,IF(AND(L100="Vermögend und stationär",D101&gt;8,D101&lt;=1000),96,IF(AND(L100="Vermögend und stationär",D101&gt;4,D101&lt;=8),113,IF(AND(L100="Vermögend und stationär",D101&gt;2,D101&lt;=4),174,IF(AND(L100="Vermögend und stationär",D101&gt;1,D101&lt;=2),196,IF(AND(L100="Vermögend und stationär",D101&gt;0,D101&lt;=1),249,IF(AND(L100="Mittellos und ambulant",D101&gt;8,D101&lt;=1000),130,IF(AND(L100="Mittellos und ambulant",D101&gt;4,D101&lt;=8),151,IF(AND(L100="Mittellos und ambulant",D101&gt;2,D101&lt;=4),188,IF(AND(L100="Mittellos und ambulant",D101&gt;1,D101&lt;=2),211,IF(AND(L100="Mittellos und ambulant",D101&gt;0,D101&lt;=1),258,IF(AND(L100="Mittellos und stationär",D101&gt;8,D101&lt;=1000),78,IF(AND(L100="Mittellos und stationär",D101&gt;4,D101&lt;=8),107,IF(AND(L100="Mittellos und stationär",D101&gt;2,D101&lt;=4),154,IF(AND(L100="Mittellos und stationär",D101&gt;1,D101&lt;=2),158,IF(AND(L100="Mittellos und stationär",D101&gt;0,D101&lt;=1),241,""))))))))))))))))))))),IF(M99="Stufe C",IF(AND(L100="Auswahl treffen",D101&gt;=0,D101&lt;=1000),J99,IF(AND(L100="Vermögend und ambulant",D101&gt;8,D101&lt;=1000),211,IF(AND(L100="Vermögend und ambulant",D101&gt;4,D101&lt;=8),257,IF(AND(L100="Vermögend und ambulant",D101&gt;2,D101&lt;=4),312,IF(AND(L100="Vermögend und ambulant",D101&gt;1,D101&lt;=2),339,IF(AND(L100="Vermögend und ambulant",D101&gt;0,D101&lt;=1),486,IF(AND(L100="Vermögend und stationär",D101&gt;8,D101&lt;=1000),127,IF(AND(L100="Vermögend und stationär",D101&gt;4,D101&lt;=8),149,IF(AND(L100="Vermögend und stationär",D101&gt;2,D101&lt;=4),229,IF(AND(L100="Vermögend und stationär",D101&gt;1,D101&lt;=2),257,IF(AND(L100="Vermögend und stationär",D101&gt;0,D101&lt;=1),327,IF(AND(L100="Mittellos und ambulant",D101&gt;8,D101&lt;=1000),171,IF(AND(L100="Mittellos und ambulant",D101&gt;4,D101&lt;=8),198,IF(AND(L100="Mittellos und ambulant",D101&gt;2,D101&lt;=4),246,IF(AND(L100="Mittellos und ambulant",D101&gt;1,D101&lt;=2),277,IF(AND(L100="Mittellos und ambulant",D101&gt;0,D101&lt;=1),339,IF(AND(L100="Mittellos und stationär",D101&gt;8,D101&lt;=1000),102,IF(AND(L100="Mittellos und stationär",D101&gt;4,D101&lt;=8),141,IF(AND(L100="Mittellos und stationär",D101&gt;2,D101&lt;=4),202,IF(AND(L100="Mittellos und stationär",D101&gt;1,D101&lt;=2),208,IF(AND(L100="Mittellos und stationär",D101&gt;0,D101&lt;=1),317,""))))))))))))))))))))),"")))*3+(J99*90)</f>
        <v>423</v>
      </c>
      <c r="M102" s="507" t="str">
        <f>CONCATENATE(K102, K101)</f>
        <v>+Inflat.-P</v>
      </c>
      <c r="N102" s="206" t="s">
        <v>118</v>
      </c>
      <c r="O102" s="207"/>
      <c r="P102" s="207"/>
      <c r="Q102" s="208"/>
      <c r="R102" s="187"/>
      <c r="S102" s="209" t="s">
        <v>118</v>
      </c>
      <c r="T102" s="201" t="s">
        <v>117</v>
      </c>
      <c r="U102" s="210" t="s">
        <v>26</v>
      </c>
      <c r="V102" s="192"/>
      <c r="W102" s="203"/>
      <c r="X102" s="203"/>
      <c r="Y102" s="210"/>
      <c r="Z102" s="192"/>
      <c r="AA102" s="203"/>
      <c r="AB102" s="203"/>
      <c r="AC102" s="210"/>
      <c r="AD102" s="192"/>
      <c r="AE102" s="203"/>
      <c r="AF102" s="203"/>
      <c r="AG102" s="210"/>
      <c r="AH102" s="193"/>
      <c r="AI102" s="203"/>
      <c r="AJ102" s="203"/>
      <c r="AK102" s="376"/>
      <c r="AL102" s="348" t="s">
        <v>148</v>
      </c>
      <c r="AM102" s="354">
        <f>IF(SUM(N100:N108)=SUM(S100:S108), 0, SUM(N100:N108)-SUM(S100:S108))</f>
        <v>0</v>
      </c>
      <c r="AN102" s="354"/>
      <c r="AO102" s="354"/>
      <c r="AP102" s="354"/>
      <c r="AQ102" s="350">
        <f>AM102+AN102+AO102+AP102</f>
        <v>0</v>
      </c>
      <c r="AR102" s="769"/>
      <c r="AS102" s="769"/>
      <c r="AT102" s="769"/>
      <c r="AW102"/>
      <c r="AX102"/>
      <c r="AY102" s="280"/>
      <c r="AZ102"/>
      <c r="BA102"/>
      <c r="BB102"/>
      <c r="BC102"/>
      <c r="BD102"/>
      <c r="BE102"/>
      <c r="BF102"/>
      <c r="BG102" s="280"/>
      <c r="BH102"/>
      <c r="BI102"/>
      <c r="BJ102"/>
      <c r="BK102"/>
      <c r="BL102"/>
      <c r="BM102"/>
      <c r="BN102"/>
      <c r="BO102"/>
      <c r="BP102"/>
      <c r="BQ102"/>
      <c r="BR102"/>
      <c r="BS102"/>
      <c r="BT102"/>
      <c r="BU102" s="335"/>
      <c r="BV102" s="335"/>
      <c r="BW102" s="335"/>
      <c r="BX102" s="335"/>
      <c r="BY102" s="335"/>
      <c r="BZ102" s="335"/>
      <c r="CA102" s="335"/>
      <c r="CB102" s="335"/>
      <c r="CC102" s="335"/>
      <c r="CD102" s="335"/>
      <c r="CE102" s="335"/>
      <c r="CF102" s="335"/>
      <c r="CG102" s="335"/>
      <c r="CH102" s="335"/>
      <c r="CI102" s="335"/>
    </row>
    <row r="103" spans="1:87" ht="22.25" customHeight="1">
      <c r="A103" s="181">
        <f t="shared" si="38"/>
        <v>45292</v>
      </c>
      <c r="B103" s="484">
        <f>MONTH(I100)</f>
        <v>5</v>
      </c>
      <c r="C103" s="489" t="s">
        <v>158</v>
      </c>
      <c r="D103" s="522">
        <f>D101+1</f>
        <v>8</v>
      </c>
      <c r="E103" s="211">
        <f>DATE(YEAR(E102),MONTH(E102),DAY(E102)+1)</f>
        <v>45330</v>
      </c>
      <c r="F103" s="212">
        <f t="shared" si="46"/>
        <v>8</v>
      </c>
      <c r="G103" s="213">
        <f t="shared" si="47"/>
        <v>2</v>
      </c>
      <c r="H103" s="212">
        <f t="shared" si="48"/>
        <v>2024</v>
      </c>
      <c r="I103" s="214" t="str">
        <f>IF(D100&lt;&gt;0,"-1T","")</f>
        <v>-1T</v>
      </c>
      <c r="J103" s="215">
        <f>DATE($B105,I104,$B101)</f>
        <v>45237</v>
      </c>
      <c r="K103" s="501" t="str">
        <f t="shared" si="39"/>
        <v/>
      </c>
      <c r="L103" s="470"/>
      <c r="M103" s="473" t="str">
        <f ca="1">SUM(J100-E104)&amp;" Tage"</f>
        <v>56 Tage</v>
      </c>
      <c r="N103" s="216"/>
      <c r="O103" s="217"/>
      <c r="P103" s="188"/>
      <c r="Q103" s="217"/>
      <c r="R103" s="189"/>
      <c r="S103" s="190"/>
      <c r="T103" s="190"/>
      <c r="U103" s="191"/>
      <c r="V103" s="192"/>
      <c r="W103" s="190"/>
      <c r="X103" s="190"/>
      <c r="Y103" s="191"/>
      <c r="Z103" s="192"/>
      <c r="AA103" s="190"/>
      <c r="AB103" s="190"/>
      <c r="AC103" s="191"/>
      <c r="AD103" s="192"/>
      <c r="AE103" s="190"/>
      <c r="AF103" s="190"/>
      <c r="AG103" s="191"/>
      <c r="AH103" s="193"/>
      <c r="AI103" s="190"/>
      <c r="AJ103" s="190"/>
      <c r="AK103" s="374"/>
      <c r="AL103" s="348"/>
      <c r="AM103" s="354"/>
      <c r="AN103" s="354"/>
      <c r="AO103" s="354"/>
      <c r="AP103" s="354"/>
      <c r="AQ103" s="350"/>
      <c r="AR103" s="769"/>
      <c r="AS103" s="769"/>
      <c r="AT103" s="769"/>
      <c r="AW103"/>
      <c r="AX103"/>
      <c r="AY103" s="280"/>
      <c r="AZ103"/>
      <c r="BA103"/>
      <c r="BB103"/>
      <c r="BC103"/>
      <c r="BD103"/>
      <c r="BE103"/>
      <c r="BF103"/>
      <c r="BG103" s="280"/>
      <c r="BH103"/>
      <c r="BI103"/>
      <c r="BJ103"/>
      <c r="BK103"/>
      <c r="BL103"/>
      <c r="BM103"/>
      <c r="BN103"/>
      <c r="BO103"/>
      <c r="BP103"/>
      <c r="BQ103"/>
      <c r="BR103"/>
      <c r="BS103"/>
      <c r="BT103"/>
      <c r="BU103" s="335"/>
      <c r="BV103" s="335"/>
      <c r="BW103" s="335"/>
      <c r="BX103" s="335"/>
      <c r="BY103" s="335"/>
      <c r="BZ103" s="335"/>
      <c r="CA103" s="335"/>
      <c r="CB103" s="335"/>
      <c r="CC103" s="335"/>
      <c r="CD103" s="335"/>
      <c r="CE103" s="335"/>
      <c r="CF103" s="335"/>
      <c r="CG103" s="335"/>
      <c r="CH103" s="335"/>
      <c r="CI103" s="335"/>
    </row>
    <row r="104" spans="1:87" ht="22.25" customHeight="1">
      <c r="A104" s="181">
        <f t="shared" si="38"/>
        <v>45292</v>
      </c>
      <c r="B104" s="485"/>
      <c r="C104" s="490"/>
      <c r="D104" s="521"/>
      <c r="E104" s="218">
        <f>DATE(YEAR(E103),MONTH(E103)+3,DAY(E103)-1)</f>
        <v>45419</v>
      </c>
      <c r="F104" s="212">
        <f t="shared" si="46"/>
        <v>7</v>
      </c>
      <c r="G104" s="213">
        <f t="shared" si="47"/>
        <v>5</v>
      </c>
      <c r="H104" s="212">
        <f t="shared" si="48"/>
        <v>2024</v>
      </c>
      <c r="I104" s="219">
        <f>MAX(I105:I108)</f>
        <v>11</v>
      </c>
      <c r="J104" s="220">
        <f>DATE(YEAR(J103)+1,MONTH(J103),DAY(J103))</f>
        <v>45603</v>
      </c>
      <c r="K104" s="506" t="str">
        <f t="shared" si="39"/>
        <v>+Inflat.-P</v>
      </c>
      <c r="L104" s="508">
        <f>IF(M99="Stufe A",IF(AND(L100="Auswahl treffen",D103&gt;=0,D103&lt;=1000),J99,IF(AND(L100="Vermögend und ambulant",D103&gt;8,D103&lt;=1000),130,IF(AND(L100="Vermögend und ambulant",D103&gt;4,D103&lt;=8),158,IF(AND(L100="Vermögend und ambulant",D103&gt;2,D103&lt;=4),192,IF(AND(L100="Vermögend und ambulant",D103&gt;1,D103&lt;=2),208,IF(AND(L100="Vermögend und ambulant",D103&gt;0,D103&lt;=1),298,IF(AND(L100="Vermögend und stationär",D103&gt;8,D103&lt;=1000),78,IF(AND(L100="Vermögend und stationär",D103&gt;4,D103&lt;=8),91,IF(AND(L100="Vermögend und stationär",D103&gt;2,D103&lt;=4),140,IF(AND(L100="Vermögend und stationär",D103&gt;1,D103&lt;=2),158,IF(AND(L100="Vermögend und stationär",D103&gt;0,D103&lt;=1),200,IF(AND(L100="Mittellos und ambulant",D103&gt;8,D103&lt;=1000),105,IF(AND(L100="Mittellos und ambulant",D103&gt;4,D103&lt;=8),122,IF(AND(L100="Mittellos und ambulant",D103&gt;2,D103&lt;=4),151,IF(AND(L100="Mittellos und ambulant",D103&gt;1,D103&lt;=2),170,IF(AND(L100="Mittellos und ambulant",D103&gt;0,D103&lt;=1),208,IF(AND(L100="Mittellos und stationär",D103&gt;8,D103&lt;=1000),62,IF(AND(L100="Mittellos und stationär",D103&gt;4,D103&lt;=8),87,IF(AND(L100="Mittellos und stationär",D103&gt;2,D103&lt;=4),124,IF(AND(L100="Mittellos und stationär",D103&gt;1,D103&lt;=2),129,IF(AND(L100="Mittellos und stationär",D103&gt;0,D103&lt;=1),194,""))))))))))))))))))))),IF(M99="Stufe B",IF(AND(L100="Auswahl treffen",D103&gt;=0,D103&lt;=1000),J99,IF(AND(L100="Vermögend und ambulant",D103&gt;8,D103&lt;=1000),161,IF(AND(L100="Vermögend und ambulant",D103&gt;4,D103&lt;=8),196,IF(AND(L100="Vermögend und ambulant",D103&gt;2,D103&lt;=4),238,IF(AND(L100="Vermögend und ambulant",D103&gt;1,D103&lt;=2),258,IF(AND(L100="Vermögend und ambulant",D103&gt;0,D103&lt;=1),370,IF(AND(L100="Vermögend und stationär",D103&gt;8,D103&lt;=1000),96,IF(AND(L100="Vermögend und stationär",D103&gt;4,D103&lt;=8),113,IF(AND(L100="Vermögend und stationär",D103&gt;2,D103&lt;=4),174,IF(AND(L100="Vermögend und stationär",D103&gt;1,D103&lt;=2),196,IF(AND(L100="Vermögend und stationär",D103&gt;0,D103&lt;=1),249,IF(AND(L100="Mittellos und ambulant",D103&gt;8,D103&lt;=1000),130,IF(AND(L100="Mittellos und ambulant",D103&gt;4,D103&lt;=8),151,IF(AND(L100="Mittellos und ambulant",D103&gt;2,D103&lt;=4),188,IF(AND(L100="Mittellos und ambulant",D103&gt;1,D103&lt;=2),211,IF(AND(L100="Mittellos und ambulant",D103&gt;0,D103&lt;=1),258,IF(AND(L100="Mittellos und stationär",D103&gt;8,D103&lt;=1000),78,IF(AND(L100="Mittellos und stationär",D103&gt;4,D103&lt;=8),107,IF(AND(L100="Mittellos und stationär",D103&gt;2,D103&lt;=4),154,IF(AND(L100="Mittellos und stationär",D103&gt;1,D103&lt;=2),158,IF(AND(L100="Mittellos und stationär",D103&gt;0,D103&lt;=1),241,""))))))))))))))))))))),IF(M99="Stufe C",IF(AND(L100="Auswahl treffen",D103&gt;=0,D103&lt;=1000),J99,IF(AND(L100="Vermögend und ambulant",D103&gt;8,D103&lt;=1000),211,IF(AND(L100="Vermögend und ambulant",D103&gt;4,D103&lt;=8),257,IF(AND(L100="Vermögend und ambulant",D103&gt;2,D103&lt;=4),312,IF(AND(L100="Vermögend und ambulant",D103&gt;1,D103&lt;=2),339,IF(AND(L100="Vermögend und ambulant",D103&gt;0,D103&lt;=1),486,IF(AND(L100="Vermögend und stationär",D103&gt;8,D103&lt;=1000),127,IF(AND(L100="Vermögend und stationär",D103&gt;4,D103&lt;=8),149,IF(AND(L100="Vermögend und stationär",D103&gt;2,D103&lt;=4),229,IF(AND(L100="Vermögend und stationär",D103&gt;1,D103&lt;=2),257,IF(AND(L100="Vermögend und stationär",D103&gt;0,D103&lt;=1),327,IF(AND(L100="Mittellos und ambulant",D103&gt;8,D103&lt;=1000),171,IF(AND(L100="Mittellos und ambulant",D103&gt;4,D103&lt;=8),198,IF(AND(L100="Mittellos und ambulant",D103&gt;2,D103&lt;=4),246,IF(AND(L100="Mittellos und ambulant",D103&gt;1,D103&lt;=2),277,IF(AND(L100="Mittellos und ambulant",D103&gt;0,D103&lt;=1),339,IF(AND(L100="Mittellos und stationär",D103&gt;8,D103&lt;=1000),102,IF(AND(L100="Mittellos und stationär",D103&gt;4,D103&lt;=8),141,IF(AND(L100="Mittellos und stationär",D103&gt;2,D103&lt;=4),202,IF(AND(L100="Mittellos und stationär",D103&gt;1,D103&lt;=2),208,IF(AND(L100="Mittellos und stationär",D103&gt;0,D103&lt;=1),317,""))))))))))))))))))))),"")))*3+(J99*90)</f>
        <v>423</v>
      </c>
      <c r="M104" s="507" t="str">
        <f>CONCATENATE(K104, K103)</f>
        <v>+Inflat.-P</v>
      </c>
      <c r="N104" s="216"/>
      <c r="O104" s="188" t="s">
        <v>118</v>
      </c>
      <c r="P104" s="188"/>
      <c r="Q104" s="221"/>
      <c r="R104" s="199"/>
      <c r="S104" s="190"/>
      <c r="T104" s="190"/>
      <c r="U104" s="191"/>
      <c r="V104" s="192"/>
      <c r="W104" s="222" t="s">
        <v>118</v>
      </c>
      <c r="X104" s="222" t="s">
        <v>117</v>
      </c>
      <c r="Y104" s="191" t="s">
        <v>26</v>
      </c>
      <c r="Z104" s="192"/>
      <c r="AA104" s="190"/>
      <c r="AB104" s="190"/>
      <c r="AC104" s="191"/>
      <c r="AD104" s="192"/>
      <c r="AE104" s="190"/>
      <c r="AF104" s="190"/>
      <c r="AG104" s="191"/>
      <c r="AH104" s="193"/>
      <c r="AI104" s="190"/>
      <c r="AJ104" s="190"/>
      <c r="AK104" s="374"/>
      <c r="AL104" s="348" t="s">
        <v>149</v>
      </c>
      <c r="AM104" s="354"/>
      <c r="AN104" s="354">
        <f>IF(SUM(O100:O108)=SUM(W100:W108), 0, SUM(O100:O108)-SUM(W100:W108))</f>
        <v>0</v>
      </c>
      <c r="AO104" s="354"/>
      <c r="AP104" s="354"/>
      <c r="AQ104" s="350">
        <f>AM104+AN104+AO104+AP104</f>
        <v>0</v>
      </c>
      <c r="AR104" s="769"/>
      <c r="AS104" s="769"/>
      <c r="AT104" s="769"/>
      <c r="AW104"/>
      <c r="AX104"/>
      <c r="AY104" s="280"/>
      <c r="AZ104"/>
      <c r="BA104"/>
      <c r="BB104"/>
      <c r="BC104"/>
      <c r="BD104"/>
      <c r="BE104"/>
      <c r="BF104"/>
      <c r="BG104" s="280"/>
      <c r="BH104"/>
      <c r="BI104"/>
      <c r="BJ104"/>
      <c r="BK104"/>
      <c r="BL104"/>
      <c r="BM104"/>
      <c r="BN104"/>
      <c r="BO104"/>
      <c r="BP104"/>
      <c r="BQ104"/>
      <c r="BR104"/>
      <c r="BS104"/>
      <c r="BT104"/>
      <c r="BU104" s="335"/>
      <c r="BV104" s="335"/>
      <c r="BW104" s="335"/>
      <c r="BX104" s="335"/>
      <c r="BY104" s="335"/>
      <c r="BZ104" s="335"/>
      <c r="CA104" s="335"/>
      <c r="CB104" s="335"/>
      <c r="CC104" s="335"/>
      <c r="CD104" s="335"/>
      <c r="CE104" s="335"/>
      <c r="CF104" s="335"/>
      <c r="CG104" s="335"/>
      <c r="CH104" s="335"/>
      <c r="CI104" s="335"/>
    </row>
    <row r="105" spans="1:87" ht="22.25" customHeight="1">
      <c r="A105" s="181">
        <f t="shared" si="38"/>
        <v>45292</v>
      </c>
      <c r="B105" s="484">
        <f>YEAR($A106)-1</f>
        <v>2023</v>
      </c>
      <c r="C105" s="489" t="s">
        <v>158</v>
      </c>
      <c r="D105" s="520">
        <f>D103+1</f>
        <v>9</v>
      </c>
      <c r="E105" s="194">
        <f>DATE(YEAR(E104),MONTH(E104),DAY(E104)+1)</f>
        <v>45420</v>
      </c>
      <c r="F105" s="195">
        <f t="shared" si="46"/>
        <v>8</v>
      </c>
      <c r="G105" s="196">
        <f t="shared" si="47"/>
        <v>5</v>
      </c>
      <c r="H105" s="195">
        <f t="shared" si="48"/>
        <v>2024</v>
      </c>
      <c r="I105" s="223" t="str">
        <f>IF(J107&lt;13,J107,"")</f>
        <v/>
      </c>
      <c r="J105" s="224">
        <f>G100</f>
        <v>5</v>
      </c>
      <c r="K105" s="501" t="str">
        <f t="shared" si="39"/>
        <v/>
      </c>
      <c r="L105" s="471"/>
      <c r="M105" s="473" t="str">
        <f ca="1">SUM(J100-E106)&amp;" Tage"</f>
        <v>-36 Tage</v>
      </c>
      <c r="N105" s="200"/>
      <c r="O105" s="201"/>
      <c r="P105" s="201"/>
      <c r="Q105" s="202"/>
      <c r="R105" s="189"/>
      <c r="S105" s="203"/>
      <c r="T105" s="203"/>
      <c r="U105" s="204"/>
      <c r="V105" s="192"/>
      <c r="W105" s="203"/>
      <c r="X105" s="203"/>
      <c r="Y105" s="204"/>
      <c r="Z105" s="192"/>
      <c r="AA105" s="203"/>
      <c r="AB105" s="203"/>
      <c r="AC105" s="204"/>
      <c r="AD105" s="192"/>
      <c r="AE105" s="203"/>
      <c r="AF105" s="203"/>
      <c r="AG105" s="204"/>
      <c r="AH105" s="193"/>
      <c r="AI105" s="203"/>
      <c r="AJ105" s="203"/>
      <c r="AK105" s="375"/>
      <c r="AL105" s="348"/>
      <c r="AM105" s="354"/>
      <c r="AN105" s="354"/>
      <c r="AO105" s="354"/>
      <c r="AP105" s="354"/>
      <c r="AQ105" s="350"/>
      <c r="AR105" s="769"/>
      <c r="AS105" s="769"/>
      <c r="AT105" s="769"/>
      <c r="AW105"/>
      <c r="AX105"/>
      <c r="AY105" s="280"/>
      <c r="AZ105"/>
      <c r="BA105"/>
      <c r="BB105"/>
      <c r="BC105"/>
      <c r="BD105"/>
      <c r="BE105"/>
      <c r="BF105"/>
      <c r="BG105" s="280"/>
      <c r="BH105"/>
      <c r="BI105"/>
      <c r="BJ105"/>
      <c r="BK105"/>
      <c r="BL105"/>
      <c r="BM105"/>
      <c r="BN105"/>
      <c r="BO105"/>
      <c r="BP105"/>
      <c r="BQ105"/>
      <c r="BR105"/>
      <c r="BS105"/>
      <c r="BT105"/>
      <c r="BU105" s="335"/>
      <c r="BV105" s="335"/>
      <c r="BW105" s="335"/>
      <c r="BX105" s="335"/>
      <c r="BY105" s="335"/>
      <c r="BZ105" s="335"/>
      <c r="CA105" s="335"/>
      <c r="CB105" s="335"/>
      <c r="CC105" s="335"/>
      <c r="CD105" s="335"/>
      <c r="CE105" s="335"/>
      <c r="CF105" s="335"/>
      <c r="CG105" s="335"/>
      <c r="CH105" s="335"/>
      <c r="CI105" s="335"/>
    </row>
    <row r="106" spans="1:87" ht="22.25" customHeight="1">
      <c r="A106" s="181">
        <f t="shared" si="38"/>
        <v>45292</v>
      </c>
      <c r="B106" s="485"/>
      <c r="C106" s="490"/>
      <c r="D106" s="521"/>
      <c r="E106" s="194">
        <f>DATE(YEAR(E105),MONTH(E105)+3,DAY(E105)-1)</f>
        <v>45511</v>
      </c>
      <c r="F106" s="195">
        <f t="shared" si="46"/>
        <v>7</v>
      </c>
      <c r="G106" s="196">
        <f t="shared" si="47"/>
        <v>8</v>
      </c>
      <c r="H106" s="195">
        <f t="shared" si="48"/>
        <v>2024</v>
      </c>
      <c r="I106" s="244">
        <f>IF(J108&lt;13,J108,"")</f>
        <v>11</v>
      </c>
      <c r="J106" s="224">
        <f>J105+3</f>
        <v>8</v>
      </c>
      <c r="K106" s="506" t="str">
        <f t="shared" si="39"/>
        <v>+Inflat.-P</v>
      </c>
      <c r="L106" s="511">
        <f>IF(M99="Stufe A",IF(AND(L100="Auswahl treffen",D105&gt;=0,D105&lt;=1000),J99,IF(AND(L100="Vermögend und ambulant",D105&gt;8,D105&lt;=1000),130,IF(AND(L100="Vermögend und ambulant",D105&gt;4,D105&lt;=8),158,IF(AND(L100="Vermögend und ambulant",D105&gt;2,D105&lt;=4),192,IF(AND(L100="Vermögend und ambulant",D105&gt;1,D105&lt;=2),208,IF(AND(L100="Vermögend und ambulant",D105&gt;0,D105&lt;=1),298,IF(AND(L100="Vermögend und stationär",D105&gt;8,D105&lt;=1000),78,IF(AND(L100="Vermögend und stationär",D105&gt;4,D105&lt;=8),91,IF(AND(L100="Vermögend und stationär",D105&gt;2,D105&lt;=4),140,IF(AND(L100="Vermögend und stationär",D105&gt;1,D105&lt;=2),158,IF(AND(L100="Vermögend und stationär",D105&gt;0,D105&lt;=1),200,IF(AND(L100="Mittellos und ambulant",D105&gt;8,D105&lt;=1000),105,IF(AND(L100="Mittellos und ambulant",D105&gt;4,D105&lt;=8),122,IF(AND(L100="Mittellos und ambulant",D105&gt;2,D105&lt;=4),151,IF(AND(L100="Mittellos und ambulant",D105&gt;1,D105&lt;=2),170,IF(AND(L100="Mittellos und ambulant",D105&gt;0,D105&lt;=1),208,IF(AND(L100="Mittellos und stationär",D105&gt;8,D105&lt;=1000),62,IF(AND(L100="Mittellos und stationär",D105&gt;4,D105&lt;=8),87,IF(AND(L100="Mittellos und stationär",D105&gt;2,D105&lt;=4),124,IF(AND(L100="Mittellos und stationär",D105&gt;1,D105&lt;=2),129,IF(AND(L100="Mittellos und stationär",D105&gt;0,D105&lt;=1),194,""))))))))))))))))))))),IF(M99="Stufe B",IF(AND(L100="Auswahl treffen",D105&gt;=0,D105&lt;=1000),J99,IF(AND(L100="Vermögend und ambulant",D105&gt;8,D105&lt;=1000),161,IF(AND(L100="Vermögend und ambulant",D105&gt;4,D105&lt;=8),196,IF(AND(L100="Vermögend und ambulant",D105&gt;2,D105&lt;=4),238,IF(AND(L100="Vermögend und ambulant",D105&gt;1,D105&lt;=2),258,IF(AND(L100="Vermögend und ambulant",D105&gt;0,D105&lt;=1),370,IF(AND(L100="Vermögend und stationär",D105&gt;8,D105&lt;=1000),96,IF(AND(L100="Vermögend und stationär",D105&gt;4,D105&lt;=8),113,IF(AND(L100="Vermögend und stationär",D105&gt;2,D105&lt;=4),174,IF(AND(L100="Vermögend und stationär",D105&gt;1,D105&lt;=2),196,IF(AND(L100="Vermögend und stationär",D105&gt;0,D105&lt;=1),249,IF(AND(L100="Mittellos und ambulant",D105&gt;8,D105&lt;=1000),130,IF(AND(L100="Mittellos und ambulant",D105&gt;4,D105&lt;=8),151,IF(AND(L100="Mittellos und ambulant",D105&gt;2,D105&lt;=4),188,IF(AND(L100="Mittellos und ambulant",D105&gt;1,D105&lt;=2),211,IF(AND(L100="Mittellos und ambulant",D105&gt;0,D105&lt;=1),258,IF(AND(L100="Mittellos und stationär",D105&gt;8,D105&lt;=1000),78,IF(AND(L100="Mittellos und stationär",D105&gt;4,D105&lt;=8),107,IF(AND(L100="Mittellos und stationär",D105&gt;2,D105&lt;=4),154,IF(AND(L100="Mittellos und stationär",D105&gt;1,D105&lt;=2),158,IF(AND(L100="Mittellos und stationär",D105&gt;0,D105&lt;=1),241,""))))))))))))))))))))),IF(M99="Stufe C",IF(AND(L100="Auswahl treffen",D105&gt;=0,D105&lt;=1000),J99,IF(AND(L100="Vermögend und ambulant",D105&gt;8,D105&lt;=1000),211,IF(AND(L100="Vermögend und ambulant",D105&gt;4,D105&lt;=8),257,IF(AND(L100="Vermögend und ambulant",D105&gt;2,D105&lt;=4),312,IF(AND(L100="Vermögend und ambulant",D105&gt;1,D105&lt;=2),339,IF(AND(L100="Vermögend und ambulant",D105&gt;0,D105&lt;=1),486,IF(AND(L100="Vermögend und stationär",D105&gt;8,D105&lt;=1000),127,IF(AND(L100="Vermögend und stationär",D105&gt;4,D105&lt;=8),149,IF(AND(L100="Vermögend und stationär",D105&gt;2,D105&lt;=4),229,IF(AND(L100="Vermögend und stationär",D105&gt;1,D105&lt;=2),257,IF(AND(L100="Vermögend und stationär",D105&gt;0,D105&lt;=1),327,IF(AND(L100="Mittellos und ambulant",D105&gt;8,D105&lt;=1000),171,IF(AND(L100="Mittellos und ambulant",D105&gt;4,D105&lt;=8),198,IF(AND(L100="Mittellos und ambulant",D105&gt;2,D105&lt;=4),246,IF(AND(L100="Mittellos und ambulant",D105&gt;1,D105&lt;=2),277,IF(AND(L100="Mittellos und ambulant",D105&gt;0,D105&lt;=1),339,IF(AND(L100="Mittellos und stationär",D105&gt;8,D105&lt;=1000),102,IF(AND(L100="Mittellos und stationär",D105&gt;4,D105&lt;=8),141,IF(AND(L100="Mittellos und stationär",D105&gt;2,D105&lt;=4),202,IF(AND(L100="Mittellos und stationär",D105&gt;1,D105&lt;=2),208,IF(AND(L100="Mittellos und stationär",D105&gt;0,D105&lt;=1),317,""))))))))))))))))))))),"")))*3+(J99*90)</f>
        <v>306</v>
      </c>
      <c r="M106" s="507" t="str">
        <f>CONCATENATE(K106, K105)</f>
        <v>+Inflat.-P</v>
      </c>
      <c r="N106" s="206"/>
      <c r="O106" s="207"/>
      <c r="P106" s="206" t="s">
        <v>118</v>
      </c>
      <c r="Q106" s="226"/>
      <c r="R106" s="189"/>
      <c r="S106" s="203"/>
      <c r="T106" s="203"/>
      <c r="U106" s="204"/>
      <c r="V106" s="192"/>
      <c r="W106" s="203"/>
      <c r="X106" s="203"/>
      <c r="Y106" s="204"/>
      <c r="Z106" s="192"/>
      <c r="AA106" s="209" t="s">
        <v>118</v>
      </c>
      <c r="AB106" s="209" t="s">
        <v>117</v>
      </c>
      <c r="AC106" s="204" t="s">
        <v>26</v>
      </c>
      <c r="AD106" s="192"/>
      <c r="AE106" s="203"/>
      <c r="AF106" s="203"/>
      <c r="AG106" s="204"/>
      <c r="AH106" s="193"/>
      <c r="AI106" s="203"/>
      <c r="AJ106" s="203"/>
      <c r="AK106" s="375"/>
      <c r="AL106" s="348" t="s">
        <v>150</v>
      </c>
      <c r="AM106" s="354"/>
      <c r="AN106" s="354"/>
      <c r="AO106" s="354">
        <f>IF(SUM(P100:P108)=SUM(AA100:AA108), 0, SUM(P100:P108)-SUM(AA100:AA108))</f>
        <v>0</v>
      </c>
      <c r="AP106" s="354"/>
      <c r="AQ106" s="350">
        <f>AM106+AN106+AO106+AP106</f>
        <v>0</v>
      </c>
      <c r="AR106" s="769"/>
      <c r="AS106" s="769"/>
      <c r="AT106" s="769"/>
      <c r="AW106"/>
      <c r="AX106"/>
      <c r="AY106" s="280"/>
      <c r="AZ106"/>
      <c r="BA106"/>
      <c r="BB106"/>
      <c r="BC106"/>
      <c r="BD106"/>
      <c r="BE106"/>
      <c r="BF106"/>
      <c r="BG106" s="280"/>
      <c r="BH106"/>
      <c r="BI106"/>
      <c r="BJ106"/>
      <c r="BK106"/>
      <c r="BL106"/>
      <c r="BM106"/>
      <c r="BN106"/>
      <c r="BO106"/>
      <c r="BS106" s="335"/>
      <c r="BT106" s="335"/>
      <c r="BU106" s="335"/>
      <c r="BV106" s="335"/>
      <c r="BW106" s="335"/>
      <c r="BX106" s="335"/>
      <c r="BY106" s="335"/>
      <c r="BZ106" s="335"/>
      <c r="CA106" s="335"/>
      <c r="CB106" s="335"/>
      <c r="CC106" s="335"/>
      <c r="CD106" s="335"/>
      <c r="CE106" s="335"/>
      <c r="CF106" s="335"/>
      <c r="CG106" s="335"/>
      <c r="CH106" s="335"/>
      <c r="CI106" s="335"/>
    </row>
    <row r="107" spans="1:87" ht="22.25" customHeight="1">
      <c r="A107" s="181">
        <f t="shared" si="38"/>
        <v>45292</v>
      </c>
      <c r="B107" s="486"/>
      <c r="C107" s="489" t="s">
        <v>158</v>
      </c>
      <c r="D107" s="522">
        <f>D105+1</f>
        <v>10</v>
      </c>
      <c r="E107" s="211">
        <f>DATE(YEAR(E106),MONTH(E106),DAY(E106)+1)</f>
        <v>45512</v>
      </c>
      <c r="F107" s="227">
        <f t="shared" si="46"/>
        <v>8</v>
      </c>
      <c r="G107" s="228">
        <f t="shared" si="47"/>
        <v>8</v>
      </c>
      <c r="H107" s="227">
        <f t="shared" si="48"/>
        <v>2024</v>
      </c>
      <c r="I107" s="231">
        <f>IF(J106&lt;13,J106,"")</f>
        <v>8</v>
      </c>
      <c r="J107" s="230">
        <f>J108+3</f>
        <v>14</v>
      </c>
      <c r="K107" s="501" t="str">
        <f t="shared" si="39"/>
        <v/>
      </c>
      <c r="L107" s="471"/>
      <c r="M107" s="473" t="str">
        <f ca="1">SUM(J100-E108)&amp;" Tage"</f>
        <v>-128 Tage</v>
      </c>
      <c r="N107" s="216"/>
      <c r="O107" s="188"/>
      <c r="P107" s="188"/>
      <c r="Q107" s="217"/>
      <c r="R107" s="189"/>
      <c r="S107" s="190"/>
      <c r="T107" s="190"/>
      <c r="U107" s="191"/>
      <c r="V107" s="192"/>
      <c r="W107" s="190"/>
      <c r="X107" s="190"/>
      <c r="Y107" s="191"/>
      <c r="Z107" s="192"/>
      <c r="AA107" s="190"/>
      <c r="AB107" s="190"/>
      <c r="AC107" s="191"/>
      <c r="AD107" s="192"/>
      <c r="AE107" s="190"/>
      <c r="AF107" s="190"/>
      <c r="AG107" s="191"/>
      <c r="AH107" s="193"/>
      <c r="AI107" s="190"/>
      <c r="AJ107" s="190"/>
      <c r="AK107" s="374"/>
      <c r="AL107" s="348"/>
      <c r="AM107" s="354"/>
      <c r="AN107" s="354"/>
      <c r="AO107" s="354"/>
      <c r="AP107" s="354"/>
      <c r="AQ107" s="350"/>
      <c r="AR107" s="769"/>
      <c r="AS107" s="769"/>
      <c r="AT107" s="769"/>
      <c r="AW107"/>
      <c r="AX107"/>
      <c r="AY107" s="280"/>
      <c r="AZ107"/>
      <c r="BA107"/>
      <c r="BB107"/>
      <c r="BC107"/>
      <c r="BD107"/>
      <c r="BE107"/>
      <c r="BF107"/>
      <c r="BG107" s="280"/>
      <c r="BH107"/>
      <c r="BI107"/>
      <c r="BJ107"/>
      <c r="BK107"/>
      <c r="BL107"/>
      <c r="BM107"/>
      <c r="BN107"/>
      <c r="BO107"/>
      <c r="BS107" s="335"/>
      <c r="BT107" s="335"/>
      <c r="BU107" s="335"/>
      <c r="BV107" s="335"/>
      <c r="BW107" s="335"/>
      <c r="BX107" s="335"/>
      <c r="BY107" s="335"/>
      <c r="BZ107" s="335"/>
      <c r="CA107" s="335"/>
      <c r="CB107" s="335"/>
      <c r="CC107" s="335"/>
      <c r="CD107" s="335"/>
      <c r="CE107" s="335"/>
      <c r="CF107" s="335"/>
      <c r="CG107" s="335"/>
      <c r="CH107" s="335"/>
      <c r="CI107" s="335"/>
    </row>
    <row r="108" spans="1:87" ht="22.25" customHeight="1">
      <c r="A108" s="181">
        <f t="shared" si="38"/>
        <v>45292</v>
      </c>
      <c r="B108" s="485"/>
      <c r="C108" s="490"/>
      <c r="D108" s="521"/>
      <c r="E108" s="218">
        <f>DATE(YEAR(E107),MONTH(E107)+3,DAY(E107)-1)</f>
        <v>45603</v>
      </c>
      <c r="F108" s="227">
        <f t="shared" si="46"/>
        <v>7</v>
      </c>
      <c r="G108" s="228">
        <f t="shared" si="47"/>
        <v>11</v>
      </c>
      <c r="H108" s="227">
        <f t="shared" si="48"/>
        <v>2024</v>
      </c>
      <c r="I108" s="231">
        <f>IF(J105&lt;13,J105,"")</f>
        <v>5</v>
      </c>
      <c r="J108" s="230">
        <f>J106+3</f>
        <v>11</v>
      </c>
      <c r="K108" s="506" t="str">
        <f t="shared" si="39"/>
        <v>+Inflat.-P</v>
      </c>
      <c r="L108" s="508">
        <f>IF(M99="Stufe A",IF(AND(L100="Auswahl treffen",D107&gt;=0,D107&lt;=1000),J99,IF(AND(L100="Vermögend und ambulant",D107&gt;8,D107&lt;=1000),130,IF(AND(L100="Vermögend und ambulant",D107&gt;4,D107&lt;=8),158,IF(AND(L100="Vermögend und ambulant",D107&gt;2,D107&lt;=4),192,IF(AND(L100="Vermögend und ambulant",D107&gt;1,D107&lt;=2),208,IF(AND(L100="Vermögend und ambulant",D107&gt;0,D107&lt;=1),298,IF(AND(L100="Vermögend und stationär",D107&gt;8,D107&lt;=1000),78,IF(AND(L100="Vermögend und stationär",D107&gt;4,D107&lt;=8),91,IF(AND(L100="Vermögend und stationär",D107&gt;2,D107&lt;=4),140,IF(AND(L100="Vermögend und stationär",D107&gt;1,D107&lt;=2),158,IF(AND(L100="Vermögend und stationär",D107&gt;0,D107&lt;=1),200,IF(AND(L100="Mittellos und ambulant",D107&gt;8,D107&lt;=1000),105,IF(AND(L100="Mittellos und ambulant",D107&gt;4,D107&lt;=8),122,IF(AND(L100="Mittellos und ambulant",D107&gt;2,D107&lt;=4),151,IF(AND(L100="Mittellos und ambulant",D107&gt;1,D107&lt;=2),170,IF(AND(L100="Mittellos und ambulant",D107&gt;0,D107&lt;=1),208,IF(AND(L100="Mittellos und stationär",D107&gt;8,D107&lt;=1000),62,IF(AND(L100="Mittellos und stationär",D107&gt;4,D107&lt;=8),87,IF(AND(L100="Mittellos und stationär",D107&gt;2,D107&lt;=4),124,IF(AND(L100="Mittellos und stationär",D107&gt;1,D107&lt;=2),129,IF(AND(L100="Mittellos und stationär",D107&gt;0,D107&lt;=1),194,""))))))))))))))))))))),IF(M99="Stufe B",IF(AND(L100="Auswahl treffen",D107&gt;=0,D107&lt;=1000),J99,IF(AND(L100="Vermögend und ambulant",D107&gt;8,D107&lt;=1000),161,IF(AND(L100="Vermögend und ambulant",D107&gt;4,D107&lt;=8),196,IF(AND(L100="Vermögend und ambulant",D107&gt;2,D107&lt;=4),238,IF(AND(L100="Vermögend und ambulant",D107&gt;1,D107&lt;=2),258,IF(AND(L100="Vermögend und ambulant",D107&gt;0,D107&lt;=1),370,IF(AND(L100="Vermögend und stationär",D107&gt;8,D107&lt;=1000),96,IF(AND(L100="Vermögend und stationär",D107&gt;4,D107&lt;=8),113,IF(AND(L100="Vermögend und stationär",D107&gt;2,D107&lt;=4),174,IF(AND(L100="Vermögend und stationär",D107&gt;1,D107&lt;=2),196,IF(AND(L100="Vermögend und stationär",D107&gt;0,D107&lt;=1),249,IF(AND(L100="Mittellos und ambulant",D107&gt;8,D107&lt;=1000),130,IF(AND(L100="Mittellos und ambulant",D107&gt;4,D107&lt;=8),151,IF(AND(L100="Mittellos und ambulant",D107&gt;2,D107&lt;=4),188,IF(AND(L100="Mittellos und ambulant",D107&gt;1,D107&lt;=2),211,IF(AND(L100="Mittellos und ambulant",D107&gt;0,D107&lt;=1),258,IF(AND(L100="Mittellos und stationär",D107&gt;8,D107&lt;=1000),78,IF(AND(L100="Mittellos und stationär",D107&gt;4,D107&lt;=8),107,IF(AND(L100="Mittellos und stationär",D107&gt;2,D107&lt;=4),154,IF(AND(L100="Mittellos und stationär",D107&gt;1,D107&lt;=2),158,IF(AND(L100="Mittellos und stationär",D107&gt;0,D107&lt;=1),241,""))))))))))))))))))))),IF(M99="Stufe C",IF(AND(L100="Auswahl treffen",D107&gt;=0,D107&lt;=1000),J99,IF(AND(L100="Vermögend und ambulant",D107&gt;8,D107&lt;=1000),211,IF(AND(L100="Vermögend und ambulant",D107&gt;4,D107&lt;=8),257,IF(AND(L100="Vermögend und ambulant",D107&gt;2,D107&lt;=4),312,IF(AND(L100="Vermögend und ambulant",D107&gt;1,D107&lt;=2),339,IF(AND(L100="Vermögend und ambulant",D107&gt;0,D107&lt;=1),486,IF(AND(L100="Vermögend und stationär",D107&gt;8,D107&lt;=1000),127,IF(AND(L100="Vermögend und stationär",D107&gt;4,D107&lt;=8),149,IF(AND(L100="Vermögend und stationär",D107&gt;2,D107&lt;=4),229,IF(AND(L100="Vermögend und stationär",D107&gt;1,D107&lt;=2),257,IF(AND(L100="Vermögend und stationär",D107&gt;0,D107&lt;=1),327,IF(AND(L100="Mittellos und ambulant",D107&gt;8,D107&lt;=1000),171,IF(AND(L100="Mittellos und ambulant",D107&gt;4,D107&lt;=8),198,IF(AND(L100="Mittellos und ambulant",D107&gt;2,D107&lt;=4),246,IF(AND(L100="Mittellos und ambulant",D107&gt;1,D107&lt;=2),277,IF(AND(L100="Mittellos und ambulant",D107&gt;0,D107&lt;=1),339,IF(AND(L100="Mittellos und stationär",D107&gt;8,D107&lt;=1000),102,IF(AND(L100="Mittellos und stationär",D107&gt;4,D107&lt;=8),141,IF(AND(L100="Mittellos und stationär",D107&gt;2,D107&lt;=4),202,IF(AND(L100="Mittellos und stationär",D107&gt;1,D107&lt;=2),208,IF(AND(L100="Mittellos und stationär",D107&gt;0,D107&lt;=1),317,""))))))))))))))))))))),"")))*3+(J99*90)</f>
        <v>306</v>
      </c>
      <c r="M108" s="507" t="str">
        <f>CONCATENATE(K108, K107)</f>
        <v>+Inflat.-P</v>
      </c>
      <c r="N108" s="216"/>
      <c r="O108" s="188"/>
      <c r="P108" s="188"/>
      <c r="Q108" s="217" t="s">
        <v>118</v>
      </c>
      <c r="R108" s="189"/>
      <c r="S108" s="190"/>
      <c r="T108" s="190"/>
      <c r="U108" s="191"/>
      <c r="V108" s="192"/>
      <c r="W108" s="190"/>
      <c r="X108" s="190"/>
      <c r="Y108" s="191"/>
      <c r="Z108" s="192"/>
      <c r="AA108" s="190"/>
      <c r="AB108" s="190"/>
      <c r="AC108" s="191"/>
      <c r="AD108" s="192"/>
      <c r="AE108" s="190" t="s">
        <v>118</v>
      </c>
      <c r="AF108" s="190" t="s">
        <v>117</v>
      </c>
      <c r="AG108" s="191" t="s">
        <v>26</v>
      </c>
      <c r="AH108" s="193"/>
      <c r="AI108" s="190" t="s">
        <v>118</v>
      </c>
      <c r="AJ108" s="190" t="s">
        <v>117</v>
      </c>
      <c r="AK108" s="374" t="s">
        <v>26</v>
      </c>
      <c r="AL108" s="348" t="s">
        <v>151</v>
      </c>
      <c r="AM108" s="354"/>
      <c r="AN108" s="354"/>
      <c r="AO108" s="354"/>
      <c r="AP108" s="354">
        <f>IF(SUM(Q100:Q108)=SUM(AE100:AE108,AI100:AI108), 0, SUM(Q100:Q108)-SUM(AE100:AE108,AI100:AI108))</f>
        <v>0</v>
      </c>
      <c r="AQ108" s="350">
        <f>AM108+AN108+AO108+AP108</f>
        <v>0</v>
      </c>
      <c r="AR108" s="769"/>
      <c r="AS108" s="769"/>
      <c r="AT108" s="769"/>
      <c r="AW108"/>
      <c r="AX108"/>
      <c r="AY108" s="280"/>
      <c r="AZ108"/>
      <c r="BA108"/>
      <c r="BB108"/>
      <c r="BC108"/>
      <c r="BD108"/>
      <c r="BE108"/>
      <c r="BF108"/>
      <c r="BG108" s="280"/>
      <c r="BH108"/>
      <c r="BI108"/>
      <c r="BJ108"/>
      <c r="BK108"/>
      <c r="BL108"/>
      <c r="BM108"/>
      <c r="BN108"/>
      <c r="BO108"/>
      <c r="BS108" s="335"/>
      <c r="BT108" s="335"/>
      <c r="BU108" s="335"/>
      <c r="BV108" s="335"/>
      <c r="BW108" s="335"/>
      <c r="BX108" s="335"/>
      <c r="BY108" s="335"/>
      <c r="BZ108" s="335"/>
      <c r="CA108" s="335"/>
      <c r="CB108" s="335"/>
      <c r="CC108" s="335"/>
      <c r="CD108" s="335"/>
      <c r="CE108" s="335"/>
      <c r="CF108" s="335"/>
      <c r="CG108" s="335"/>
      <c r="CH108" s="335"/>
      <c r="CI108" s="335"/>
    </row>
    <row r="109" spans="1:87" ht="22" customHeight="1">
      <c r="A109" s="181">
        <f t="shared" si="38"/>
        <v>45292</v>
      </c>
      <c r="B109" s="232" t="s">
        <v>74</v>
      </c>
      <c r="C109" s="233" t="s">
        <v>75</v>
      </c>
      <c r="D109" s="234" t="s">
        <v>76</v>
      </c>
      <c r="E109" s="235" t="s">
        <v>11</v>
      </c>
      <c r="F109" s="235" t="s">
        <v>4</v>
      </c>
      <c r="G109" s="235" t="s">
        <v>5</v>
      </c>
      <c r="H109" s="235" t="s">
        <v>6</v>
      </c>
      <c r="I109" s="236" t="s">
        <v>77</v>
      </c>
      <c r="J109" s="306"/>
      <c r="K109" s="501" t="str">
        <f t="shared" si="39"/>
        <v/>
      </c>
      <c r="L109" s="306" t="str">
        <f>IFERROR(VLOOKUP(B110,'Aktuelle Einnahmen'!A2:J104,10,0),"")</f>
        <v/>
      </c>
      <c r="M109" s="510" t="str">
        <f>M99</f>
        <v>Stufe C</v>
      </c>
      <c r="N109" s="237"/>
      <c r="O109" s="238"/>
      <c r="P109" s="238"/>
      <c r="Q109" s="239"/>
      <c r="R109" s="240"/>
      <c r="S109" s="241"/>
      <c r="T109" s="241"/>
      <c r="U109" s="242"/>
      <c r="V109" s="243"/>
      <c r="W109" s="241"/>
      <c r="X109" s="241"/>
      <c r="Y109" s="242"/>
      <c r="Z109" s="243"/>
      <c r="AA109" s="241"/>
      <c r="AB109" s="241"/>
      <c r="AC109" s="242"/>
      <c r="AD109" s="243"/>
      <c r="AE109" s="241"/>
      <c r="AF109" s="241"/>
      <c r="AG109" s="242"/>
      <c r="AH109" s="240"/>
      <c r="AI109" s="241"/>
      <c r="AJ109" s="241"/>
      <c r="AK109" s="377"/>
      <c r="AL109" s="347"/>
      <c r="AM109" s="353"/>
      <c r="AN109" s="353"/>
      <c r="AO109" s="353"/>
      <c r="AP109" s="353"/>
      <c r="AQ109" s="349"/>
      <c r="AR109" s="768"/>
      <c r="AS109" s="768"/>
      <c r="AT109" s="768"/>
      <c r="AW109"/>
      <c r="AX109"/>
      <c r="AY109" s="280"/>
      <c r="AZ109"/>
      <c r="BA109"/>
      <c r="BB109"/>
      <c r="BC109"/>
      <c r="BD109"/>
      <c r="BE109"/>
      <c r="BF109"/>
      <c r="BG109" s="280"/>
      <c r="BH109"/>
      <c r="BI109"/>
      <c r="BJ109"/>
      <c r="BK109"/>
      <c r="BL109"/>
      <c r="BM109"/>
      <c r="BN109"/>
      <c r="BO109"/>
      <c r="BS109" s="335"/>
      <c r="BT109" s="335"/>
      <c r="BU109" s="335"/>
      <c r="BV109" s="335"/>
      <c r="BW109" s="335"/>
      <c r="BX109" s="335"/>
      <c r="BY109" s="335"/>
      <c r="BZ109" s="335"/>
      <c r="CA109" s="335"/>
      <c r="CB109" s="335"/>
      <c r="CC109" s="335"/>
      <c r="CD109" s="335"/>
      <c r="CE109" s="335"/>
      <c r="CF109" s="335"/>
      <c r="CG109" s="335"/>
      <c r="CH109" s="335"/>
      <c r="CI109" s="335"/>
    </row>
    <row r="110" spans="1:87" ht="23" customHeight="1">
      <c r="A110" s="181">
        <f t="shared" si="38"/>
        <v>45292</v>
      </c>
      <c r="B110" s="182">
        <v>11</v>
      </c>
      <c r="C110" s="183" t="str">
        <f>IFERROR(VLOOKUP($B110,'Aktuelle Einnahmen'!A2:G104,3,0),"")</f>
        <v>Kelly</v>
      </c>
      <c r="D110" s="184" t="str">
        <f>IFERROR(VLOOKUP($B110,'Aktuelle Einnahmen'!A2:G104,2,0),"")</f>
        <v>Kate</v>
      </c>
      <c r="E110" s="185" t="str">
        <f>IFERROR(VLOOKUP($B110,'Aktuelle Einnahmen'!A2:G104,4,0),"")</f>
        <v>10 XVII 354/21 K</v>
      </c>
      <c r="F110" s="94">
        <f>IFERROR(VLOOKUP($B110,'Aktuelle Einnahmen'!A2:G104,5,0),"")</f>
        <v>21</v>
      </c>
      <c r="G110" s="94">
        <f>IFERROR(VLOOKUP($B110,'Aktuelle Einnahmen'!A2:G104,6,0),"")</f>
        <v>5</v>
      </c>
      <c r="H110" s="94">
        <f>IFERROR(VLOOKUP($B110,'Aktuelle Einnahmen'!A2:G104,7,0),"")</f>
        <v>23</v>
      </c>
      <c r="I110" s="186">
        <f>DATE(H110,G110,F110)</f>
        <v>8542</v>
      </c>
      <c r="J110" s="472">
        <f ca="1">J100</f>
        <v>45475</v>
      </c>
      <c r="K110" s="501" t="str">
        <f t="shared" si="39"/>
        <v>+Inflat.-P</v>
      </c>
      <c r="L110" s="1262" t="str">
        <f>IFERROR(VLOOKUP(B110,'Aktuelle Einnahmen'!A2:I104,9,0),"")</f>
        <v>Mittellos und stationär</v>
      </c>
      <c r="M110" s="1263"/>
      <c r="N110" s="261"/>
      <c r="O110" s="261"/>
      <c r="P110" s="261"/>
      <c r="Q110" s="261"/>
      <c r="R110" s="189"/>
      <c r="S110" s="190"/>
      <c r="T110" s="190"/>
      <c r="U110" s="191"/>
      <c r="V110" s="192"/>
      <c r="W110" s="190"/>
      <c r="X110" s="190"/>
      <c r="Y110" s="191"/>
      <c r="Z110" s="192"/>
      <c r="AA110" s="190"/>
      <c r="AB110" s="190"/>
      <c r="AC110" s="191"/>
      <c r="AD110" s="192"/>
      <c r="AE110" s="190"/>
      <c r="AF110" s="190"/>
      <c r="AG110" s="191"/>
      <c r="AH110" s="193"/>
      <c r="AI110" s="190"/>
      <c r="AJ110" s="190"/>
      <c r="AK110" s="374"/>
      <c r="AL110" s="348"/>
      <c r="AM110" s="354"/>
      <c r="AN110" s="354"/>
      <c r="AO110" s="354"/>
      <c r="AP110" s="354"/>
      <c r="AQ110" s="350"/>
      <c r="AR110" s="769"/>
      <c r="AS110" s="769"/>
      <c r="AT110" s="769"/>
      <c r="AW110"/>
      <c r="AX110"/>
      <c r="AY110" s="280"/>
      <c r="AZ110"/>
      <c r="BA110"/>
      <c r="BB110"/>
      <c r="BC110"/>
      <c r="BD110"/>
      <c r="BE110"/>
      <c r="BF110"/>
      <c r="BG110" s="280"/>
      <c r="BH110"/>
      <c r="BI110"/>
      <c r="BJ110"/>
      <c r="BK110"/>
      <c r="BL110"/>
      <c r="BM110"/>
      <c r="BN110"/>
      <c r="BO110"/>
      <c r="BS110" s="335"/>
      <c r="BT110" s="335"/>
      <c r="BU110" s="335"/>
      <c r="BV110" s="335"/>
      <c r="BW110" s="335"/>
      <c r="BX110" s="335"/>
      <c r="BY110" s="335"/>
      <c r="BZ110" s="335"/>
      <c r="CA110" s="335"/>
      <c r="CB110" s="335"/>
      <c r="CC110" s="335"/>
      <c r="CD110" s="335"/>
      <c r="CE110" s="335"/>
      <c r="CF110" s="335"/>
      <c r="CG110" s="335"/>
      <c r="CH110" s="335"/>
      <c r="CI110" s="335"/>
    </row>
    <row r="111" spans="1:87" ht="22.25" customHeight="1">
      <c r="A111" s="181">
        <f t="shared" si="38"/>
        <v>45292</v>
      </c>
      <c r="B111" s="484">
        <f>DAY(I110)</f>
        <v>21</v>
      </c>
      <c r="C111" s="489" t="s">
        <v>158</v>
      </c>
      <c r="D111" s="520">
        <f>(I111*4)+J111/3+1</f>
        <v>3</v>
      </c>
      <c r="E111" s="194">
        <f>J113+1</f>
        <v>45252</v>
      </c>
      <c r="F111" s="195">
        <f t="shared" ref="F111:F118" si="49">DAY(E111)</f>
        <v>22</v>
      </c>
      <c r="G111" s="196">
        <f t="shared" ref="G111:G118" si="50">MONTH(E111)</f>
        <v>11</v>
      </c>
      <c r="H111" s="195">
        <f t="shared" ref="H111:H118" si="51">YEAR(E111)</f>
        <v>2023</v>
      </c>
      <c r="I111" s="197">
        <f>H111-(H110+2000)</f>
        <v>0</v>
      </c>
      <c r="J111" s="198">
        <f>G111-G110</f>
        <v>6</v>
      </c>
      <c r="K111" s="506" t="str">
        <f>L109</f>
        <v/>
      </c>
      <c r="L111" s="469"/>
      <c r="M111" s="473" t="str">
        <f ca="1">SUM(J110-E112)&amp;" Tage"</f>
        <v>132 Tage</v>
      </c>
      <c r="N111" s="206"/>
      <c r="O111" s="201"/>
      <c r="P111" s="201"/>
      <c r="Q111" s="202"/>
      <c r="R111" s="189"/>
      <c r="S111" s="203"/>
      <c r="T111" s="203"/>
      <c r="U111" s="204"/>
      <c r="V111" s="192"/>
      <c r="W111" s="203"/>
      <c r="X111" s="203"/>
      <c r="Y111" s="204"/>
      <c r="Z111" s="192"/>
      <c r="AA111" s="203"/>
      <c r="AB111" s="203"/>
      <c r="AC111" s="204"/>
      <c r="AD111" s="192"/>
      <c r="AE111" s="203"/>
      <c r="AF111" s="203"/>
      <c r="AG111" s="204"/>
      <c r="AH111" s="193"/>
      <c r="AI111" s="203"/>
      <c r="AJ111" s="203"/>
      <c r="AK111" s="375"/>
      <c r="AL111" s="348"/>
      <c r="AM111" s="354"/>
      <c r="AN111" s="354"/>
      <c r="AO111" s="354"/>
      <c r="AP111" s="354"/>
      <c r="AQ111" s="350"/>
      <c r="AR111" s="769"/>
      <c r="AS111" s="769"/>
      <c r="AT111" s="769"/>
      <c r="AW111"/>
      <c r="AX111"/>
      <c r="AY111" s="280"/>
      <c r="AZ111"/>
      <c r="BA111"/>
      <c r="BB111"/>
      <c r="BC111"/>
      <c r="BD111"/>
      <c r="BE111"/>
      <c r="BF111"/>
      <c r="BG111" s="280"/>
      <c r="BH111"/>
      <c r="BI111"/>
      <c r="BJ111"/>
      <c r="BK111"/>
      <c r="BL111"/>
      <c r="BM111"/>
      <c r="BN111"/>
      <c r="BO111"/>
      <c r="BS111" s="335"/>
      <c r="BT111" s="335"/>
      <c r="BU111" s="335"/>
      <c r="BV111" s="335"/>
      <c r="BW111" s="335"/>
      <c r="BX111" s="335"/>
      <c r="BY111" s="335"/>
      <c r="BZ111" s="335"/>
      <c r="CA111" s="335"/>
      <c r="CB111" s="335"/>
      <c r="CC111" s="335"/>
      <c r="CD111" s="335"/>
      <c r="CE111" s="335"/>
      <c r="CF111" s="335"/>
      <c r="CG111" s="335"/>
      <c r="CH111" s="335"/>
      <c r="CI111" s="335"/>
    </row>
    <row r="112" spans="1:87" ht="22.25" customHeight="1">
      <c r="A112" s="181">
        <f t="shared" si="38"/>
        <v>45292</v>
      </c>
      <c r="B112" s="485"/>
      <c r="C112" s="490"/>
      <c r="D112" s="521"/>
      <c r="E112" s="194">
        <f>DATE(YEAR(E111),MONTH(E111)+3,DAY(E111)-1)</f>
        <v>45343</v>
      </c>
      <c r="F112" s="195">
        <f t="shared" si="49"/>
        <v>21</v>
      </c>
      <c r="G112" s="196">
        <f t="shared" si="50"/>
        <v>2</v>
      </c>
      <c r="H112" s="195">
        <f t="shared" si="51"/>
        <v>2024</v>
      </c>
      <c r="I112" s="244">
        <v>-1</v>
      </c>
      <c r="J112" s="198">
        <f>F111-F110</f>
        <v>1</v>
      </c>
      <c r="K112" s="501" t="str">
        <f t="shared" si="39"/>
        <v>+Inflat.-P</v>
      </c>
      <c r="L112" s="511">
        <f>IF(M109="Stufe A",IF(AND(L110="Auswahl treffen",D111&gt;=0,D111&lt;=1000),J109,IF(AND(L110="Vermögend und ambulant",D111&gt;8,D111&lt;=1000),130,IF(AND(L110="Vermögend und ambulant",D111&gt;4,D111&lt;=8),158,IF(AND(L110="Vermögend und ambulant",D111&gt;2,D111&lt;=4),192,IF(AND(L110="Vermögend und ambulant",D111&gt;1,D111&lt;=2),208,IF(AND(L110="Vermögend und ambulant",D111&gt;0,D111&lt;=1),298,IF(AND(L110="Vermögend und stationär",D111&gt;8,D111&lt;=1000),78,IF(AND(L110="Vermögend und stationär",D111&gt;4,D111&lt;=8),91,IF(AND(L110="Vermögend und stationär",D111&gt;2,D111&lt;=4),140,IF(AND(L110="Vermögend und stationär",D111&gt;1,D111&lt;=2),158,IF(AND(L110="Vermögend und stationär",D111&gt;0,D111&lt;=1),200,IF(AND(L110="Mittellos und ambulant",D111&gt;8,D111&lt;=1000),105,IF(AND(L110="Mittellos und ambulant",D111&gt;4,D111&lt;=8),122,IF(AND(L110="Mittellos und ambulant",D111&gt;2,D111&lt;=4),151,IF(AND(L110="Mittellos und ambulant",D111&gt;1,D111&lt;=2),170,IF(AND(L110="Mittellos und ambulant",D111&gt;0,D111&lt;=1),208,IF(AND(L110="Mittellos und stationär",D111&gt;8,D111&lt;=1000),62,IF(AND(L110="Mittellos und stationär",D111&gt;4,D111&lt;=8),87,IF(AND(L110="Mittellos und stationär",D111&gt;2,D111&lt;=4),124,IF(AND(L110="Mittellos und stationär",D111&gt;1,D111&lt;=2),129,IF(AND(L110="Mittellos und stationär",D111&gt;0,D111&lt;=1),194,""))))))))))))))))))))),IF(M109="Stufe B",IF(AND(L110="Auswahl treffen",D111&gt;=0,D111&lt;=1000),J109,IF(AND(L110="Vermögend und ambulant",D111&gt;8,D111&lt;=1000),161,IF(AND(L110="Vermögend und ambulant",D111&gt;4,D111&lt;=8),196,IF(AND(L110="Vermögend und ambulant",D111&gt;2,D111&lt;=4),238,IF(AND(L110="Vermögend und ambulant",D111&gt;1,D111&lt;=2),258,IF(AND(L110="Vermögend und ambulant",D111&gt;0,D111&lt;=1),370,IF(AND(L110="Vermögend und stationär",D111&gt;8,D111&lt;=1000),96,IF(AND(L110="Vermögend und stationär",D111&gt;4,D111&lt;=8),113,IF(AND(L110="Vermögend und stationär",D111&gt;2,D111&lt;=4),174,IF(AND(L110="Vermögend und stationär",D111&gt;1,D111&lt;=2),196,IF(AND(L110="Vermögend und stationär",D111&gt;0,D111&lt;=1),249,IF(AND(L110="Mittellos und ambulant",D111&gt;8,D111&lt;=1000),130,IF(AND(L110="Mittellos und ambulant",D111&gt;4,D111&lt;=8),151,IF(AND(L110="Mittellos und ambulant",D111&gt;2,D111&lt;=4),188,IF(AND(L110="Mittellos und ambulant",D111&gt;1,D111&lt;=2),211,IF(AND(L110="Mittellos und ambulant",D111&gt;0,D111&lt;=1),258,IF(AND(L110="Mittellos und stationär",D111&gt;8,D111&lt;=1000),78,IF(AND(L110="Mittellos und stationär",D111&gt;4,D111&lt;=8),107,IF(AND(L110="Mittellos und stationär",D111&gt;2,D111&lt;=4),154,IF(AND(L110="Mittellos und stationär",D111&gt;1,D111&lt;=2),158,IF(AND(L110="Mittellos und stationär",D111&gt;0,D111&lt;=1),241,""))))))))))))))))))))),IF(M109="Stufe C",IF(AND(L110="Auswahl treffen",D111&gt;=0,D111&lt;=1000),J109,IF(AND(L110="Vermögend und ambulant",D111&gt;8,D111&lt;=1000),211,IF(AND(L110="Vermögend und ambulant",D111&gt;4,D111&lt;=8),257,IF(AND(L110="Vermögend und ambulant",D111&gt;2,D111&lt;=4),312,IF(AND(L110="Vermögend und ambulant",D111&gt;1,D111&lt;=2),339,IF(AND(L110="Vermögend und ambulant",D111&gt;0,D111&lt;=1),486,IF(AND(L110="Vermögend und stationär",D111&gt;8,D111&lt;=1000),127,IF(AND(L110="Vermögend und stationär",D111&gt;4,D111&lt;=8),149,IF(AND(L110="Vermögend und stationär",D111&gt;2,D111&lt;=4),229,IF(AND(L110="Vermögend und stationär",D111&gt;1,D111&lt;=2),257,IF(AND(L110="Vermögend und stationär",D111&gt;0,D111&lt;=1),327,IF(AND(L110="Mittellos und ambulant",D111&gt;8,D111&lt;=1000),171,IF(AND(L110="Mittellos und ambulant",D111&gt;4,D111&lt;=8),198,IF(AND(L110="Mittellos und ambulant",D111&gt;2,D111&lt;=4),246,IF(AND(L110="Mittellos und ambulant",D111&gt;1,D111&lt;=2),277,IF(AND(L110="Mittellos und ambulant",D111&gt;0,D111&lt;=1),339,IF(AND(L110="Mittellos und stationär",D111&gt;8,D111&lt;=1000),102,IF(AND(L110="Mittellos und stationär",D111&gt;4,D111&lt;=8),141,IF(AND(L110="Mittellos und stationär",D111&gt;2,D111&lt;=4),202,IF(AND(L110="Mittellos und stationär",D111&gt;1,D111&lt;=2),208,IF(AND(L110="Mittellos und stationär",D111&gt;0,D111&lt;=1),317,""))))))))))))))))))))),"")))*3+(J109*90)</f>
        <v>606</v>
      </c>
      <c r="M112" s="507" t="str">
        <f>CONCATENATE(K112, K111)</f>
        <v>+Inflat.-P</v>
      </c>
      <c r="N112" s="206" t="s">
        <v>118</v>
      </c>
      <c r="O112" s="207"/>
      <c r="P112" s="207"/>
      <c r="Q112" s="208"/>
      <c r="R112" s="187"/>
      <c r="S112" s="209" t="s">
        <v>118</v>
      </c>
      <c r="T112" s="201" t="s">
        <v>117</v>
      </c>
      <c r="U112" s="210" t="s">
        <v>26</v>
      </c>
      <c r="V112" s="192"/>
      <c r="W112" s="203"/>
      <c r="X112" s="203"/>
      <c r="Y112" s="210"/>
      <c r="Z112" s="192"/>
      <c r="AA112" s="203"/>
      <c r="AB112" s="203"/>
      <c r="AC112" s="210"/>
      <c r="AD112" s="192"/>
      <c r="AE112" s="203"/>
      <c r="AF112" s="203"/>
      <c r="AG112" s="210"/>
      <c r="AH112" s="193"/>
      <c r="AI112" s="203"/>
      <c r="AJ112" s="203"/>
      <c r="AK112" s="376"/>
      <c r="AL112" s="348" t="s">
        <v>148</v>
      </c>
      <c r="AM112" s="354">
        <f>IF(SUM(N110:N118)=SUM(S110:S118), 0, SUM(N110:N118)-SUM(S110:S118))</f>
        <v>0</v>
      </c>
      <c r="AN112" s="354"/>
      <c r="AO112" s="354"/>
      <c r="AP112" s="354"/>
      <c r="AQ112" s="350">
        <f>AM112+AN112+AO112+AP112</f>
        <v>0</v>
      </c>
      <c r="AR112" s="769"/>
      <c r="AS112" s="769"/>
      <c r="AT112" s="769"/>
      <c r="AW112"/>
      <c r="AX112"/>
      <c r="AY112" s="280"/>
      <c r="AZ112"/>
      <c r="BA112"/>
      <c r="BB112"/>
      <c r="BC112"/>
      <c r="BD112"/>
      <c r="BE112"/>
      <c r="BF112"/>
      <c r="BG112" s="280"/>
      <c r="BH112"/>
      <c r="BI112"/>
      <c r="BJ112"/>
      <c r="BK112"/>
      <c r="BL112"/>
      <c r="BM112"/>
      <c r="BN112"/>
      <c r="BO112"/>
      <c r="BS112" s="335"/>
      <c r="BT112" s="335"/>
      <c r="BU112" s="335"/>
      <c r="BV112" s="335"/>
      <c r="BW112" s="335"/>
      <c r="BX112" s="335"/>
      <c r="BY112" s="335"/>
      <c r="BZ112" s="335"/>
      <c r="CA112" s="335"/>
      <c r="CB112" s="335"/>
      <c r="CC112" s="335"/>
      <c r="CD112" s="335"/>
      <c r="CE112" s="335"/>
      <c r="CF112" s="335"/>
      <c r="CG112" s="335"/>
      <c r="CH112" s="335"/>
      <c r="CI112" s="335"/>
    </row>
    <row r="113" spans="1:87" ht="22.25" customHeight="1">
      <c r="A113" s="181">
        <f t="shared" si="38"/>
        <v>45292</v>
      </c>
      <c r="B113" s="484">
        <f>MONTH(I110)</f>
        <v>5</v>
      </c>
      <c r="C113" s="489" t="s">
        <v>158</v>
      </c>
      <c r="D113" s="522">
        <f>D111+1</f>
        <v>4</v>
      </c>
      <c r="E113" s="211">
        <f>DATE(YEAR(E112),MONTH(E112),DAY(E112)+1)</f>
        <v>45344</v>
      </c>
      <c r="F113" s="212">
        <f t="shared" si="49"/>
        <v>22</v>
      </c>
      <c r="G113" s="213">
        <f t="shared" si="50"/>
        <v>2</v>
      </c>
      <c r="H113" s="212">
        <f t="shared" si="51"/>
        <v>2024</v>
      </c>
      <c r="I113" s="214" t="str">
        <f>IF(D110&lt;&gt;0,"-1T","")</f>
        <v>-1T</v>
      </c>
      <c r="J113" s="215">
        <f>DATE($B115,I114,$B111)</f>
        <v>45251</v>
      </c>
      <c r="K113" s="506" t="str">
        <f t="shared" si="39"/>
        <v/>
      </c>
      <c r="L113" s="470"/>
      <c r="M113" s="473" t="str">
        <f ca="1">SUM(J110-E114)&amp;" Tage"</f>
        <v>42 Tage</v>
      </c>
      <c r="N113" s="216"/>
      <c r="O113" s="217"/>
      <c r="P113" s="188"/>
      <c r="Q113" s="217"/>
      <c r="R113" s="189"/>
      <c r="S113" s="190"/>
      <c r="T113" s="190"/>
      <c r="U113" s="191"/>
      <c r="V113" s="192"/>
      <c r="W113" s="190"/>
      <c r="X113" s="190"/>
      <c r="Y113" s="191"/>
      <c r="Z113" s="192"/>
      <c r="AA113" s="190"/>
      <c r="AB113" s="190"/>
      <c r="AC113" s="191"/>
      <c r="AD113" s="192"/>
      <c r="AE113" s="190"/>
      <c r="AF113" s="190"/>
      <c r="AG113" s="191"/>
      <c r="AH113" s="193"/>
      <c r="AI113" s="190"/>
      <c r="AJ113" s="190"/>
      <c r="AK113" s="374"/>
      <c r="AL113" s="348"/>
      <c r="AM113" s="354"/>
      <c r="AN113" s="354"/>
      <c r="AO113" s="354"/>
      <c r="AP113" s="354"/>
      <c r="AQ113" s="350"/>
      <c r="AR113" s="769"/>
      <c r="AS113" s="769"/>
      <c r="AT113" s="769"/>
      <c r="AW113"/>
      <c r="AX113"/>
      <c r="AY113" s="280"/>
      <c r="AZ113"/>
      <c r="BA113"/>
      <c r="BB113"/>
      <c r="BC113"/>
      <c r="BD113"/>
      <c r="BE113"/>
      <c r="BF113"/>
      <c r="BG113" s="280"/>
      <c r="BH113"/>
      <c r="BI113"/>
      <c r="BJ113"/>
      <c r="BK113"/>
      <c r="BL113"/>
      <c r="BM113"/>
      <c r="BN113"/>
      <c r="BO113"/>
      <c r="BS113" s="335"/>
      <c r="BT113" s="335"/>
      <c r="BU113" s="335"/>
      <c r="BV113" s="335"/>
      <c r="BW113" s="335"/>
      <c r="BX113" s="335"/>
      <c r="BY113" s="335"/>
      <c r="BZ113" s="335"/>
      <c r="CA113" s="335"/>
      <c r="CB113" s="335"/>
      <c r="CC113" s="335"/>
      <c r="CD113" s="335"/>
      <c r="CE113" s="335"/>
      <c r="CF113" s="335"/>
      <c r="CG113" s="335"/>
      <c r="CH113" s="335"/>
      <c r="CI113" s="335"/>
    </row>
    <row r="114" spans="1:87" ht="22.25" customHeight="1">
      <c r="A114" s="181">
        <f t="shared" si="38"/>
        <v>45292</v>
      </c>
      <c r="B114" s="485"/>
      <c r="C114" s="490"/>
      <c r="D114" s="521"/>
      <c r="E114" s="218">
        <f>DATE(YEAR(E113),MONTH(E113)+3,DAY(E113)-1)</f>
        <v>45433</v>
      </c>
      <c r="F114" s="212">
        <f t="shared" si="49"/>
        <v>21</v>
      </c>
      <c r="G114" s="213">
        <f t="shared" si="50"/>
        <v>5</v>
      </c>
      <c r="H114" s="212">
        <f t="shared" si="51"/>
        <v>2024</v>
      </c>
      <c r="I114" s="219">
        <f>MAX(I115:I118)</f>
        <v>11</v>
      </c>
      <c r="J114" s="220">
        <f>DATE(YEAR(J113)+1,MONTH(J113),DAY(J113))</f>
        <v>45617</v>
      </c>
      <c r="K114" s="501" t="str">
        <f t="shared" si="39"/>
        <v>+Inflat.-P</v>
      </c>
      <c r="L114" s="508">
        <f>IF(M109="Stufe A",IF(AND(L110="Auswahl treffen",D113&gt;=0,D113&lt;=1000),J109,IF(AND(L110="Vermögend und ambulant",D113&gt;8,D113&lt;=1000),130,IF(AND(L110="Vermögend und ambulant",D113&gt;4,D113&lt;=8),158,IF(AND(L110="Vermögend und ambulant",D113&gt;2,D113&lt;=4),192,IF(AND(L110="Vermögend und ambulant",D113&gt;1,D113&lt;=2),208,IF(AND(L110="Vermögend und ambulant",D113&gt;0,D113&lt;=1),298,IF(AND(L110="Vermögend und stationär",D113&gt;8,D113&lt;=1000),78,IF(AND(L110="Vermögend und stationär",D113&gt;4,D113&lt;=8),91,IF(AND(L110="Vermögend und stationär",D113&gt;2,D113&lt;=4),140,IF(AND(L110="Vermögend und stationär",D113&gt;1,D113&lt;=2),158,IF(AND(L110="Vermögend und stationär",D113&gt;0,D113&lt;=1),200,IF(AND(L110="Mittellos und ambulant",D113&gt;8,D113&lt;=1000),105,IF(AND(L110="Mittellos und ambulant",D113&gt;4,D113&lt;=8),122,IF(AND(L110="Mittellos und ambulant",D113&gt;2,D113&lt;=4),151,IF(AND(L110="Mittellos und ambulant",D113&gt;1,D113&lt;=2),170,IF(AND(L110="Mittellos und ambulant",D113&gt;0,D113&lt;=1),208,IF(AND(L110="Mittellos und stationär",D113&gt;8,D113&lt;=1000),62,IF(AND(L110="Mittellos und stationär",D113&gt;4,D113&lt;=8),87,IF(AND(L110="Mittellos und stationär",D113&gt;2,D113&lt;=4),124,IF(AND(L110="Mittellos und stationär",D113&gt;1,D113&lt;=2),129,IF(AND(L110="Mittellos und stationär",D113&gt;0,D113&lt;=1),194,""))))))))))))))))))))),IF(M109="Stufe B",IF(AND(L110="Auswahl treffen",D113&gt;=0,D113&lt;=1000),J109,IF(AND(L110="Vermögend und ambulant",D113&gt;8,D113&lt;=1000),161,IF(AND(L110="Vermögend und ambulant",D113&gt;4,D113&lt;=8),196,IF(AND(L110="Vermögend und ambulant",D113&gt;2,D113&lt;=4),238,IF(AND(L110="Vermögend und ambulant",D113&gt;1,D113&lt;=2),258,IF(AND(L110="Vermögend und ambulant",D113&gt;0,D113&lt;=1),370,IF(AND(L110="Vermögend und stationär",D113&gt;8,D113&lt;=1000),96,IF(AND(L110="Vermögend und stationär",D113&gt;4,D113&lt;=8),113,IF(AND(L110="Vermögend und stationär",D113&gt;2,D113&lt;=4),174,IF(AND(L110="Vermögend und stationär",D113&gt;1,D113&lt;=2),196,IF(AND(L110="Vermögend und stationär",D113&gt;0,D113&lt;=1),249,IF(AND(L110="Mittellos und ambulant",D113&gt;8,D113&lt;=1000),130,IF(AND(L110="Mittellos und ambulant",D113&gt;4,D113&lt;=8),151,IF(AND(L110="Mittellos und ambulant",D113&gt;2,D113&lt;=4),188,IF(AND(L110="Mittellos und ambulant",D113&gt;1,D113&lt;=2),211,IF(AND(L110="Mittellos und ambulant",D113&gt;0,D113&lt;=1),258,IF(AND(L110="Mittellos und stationär",D113&gt;8,D113&lt;=1000),78,IF(AND(L110="Mittellos und stationär",D113&gt;4,D113&lt;=8),107,IF(AND(L110="Mittellos und stationär",D113&gt;2,D113&lt;=4),154,IF(AND(L110="Mittellos und stationär",D113&gt;1,D113&lt;=2),158,IF(AND(L110="Mittellos und stationär",D113&gt;0,D113&lt;=1),241,""))))))))))))))))))))),IF(M109="Stufe C",IF(AND(L110="Auswahl treffen",D113&gt;=0,D113&lt;=1000),J109,IF(AND(L110="Vermögend und ambulant",D113&gt;8,D113&lt;=1000),211,IF(AND(L110="Vermögend und ambulant",D113&gt;4,D113&lt;=8),257,IF(AND(L110="Vermögend und ambulant",D113&gt;2,D113&lt;=4),312,IF(AND(L110="Vermögend und ambulant",D113&gt;1,D113&lt;=2),339,IF(AND(L110="Vermögend und ambulant",D113&gt;0,D113&lt;=1),486,IF(AND(L110="Vermögend und stationär",D113&gt;8,D113&lt;=1000),127,IF(AND(L110="Vermögend und stationär",D113&gt;4,D113&lt;=8),149,IF(AND(L110="Vermögend und stationär",D113&gt;2,D113&lt;=4),229,IF(AND(L110="Vermögend und stationär",D113&gt;1,D113&lt;=2),257,IF(AND(L110="Vermögend und stationär",D113&gt;0,D113&lt;=1),327,IF(AND(L110="Mittellos und ambulant",D113&gt;8,D113&lt;=1000),171,IF(AND(L110="Mittellos und ambulant",D113&gt;4,D113&lt;=8),198,IF(AND(L110="Mittellos und ambulant",D113&gt;2,D113&lt;=4),246,IF(AND(L110="Mittellos und ambulant",D113&gt;1,D113&lt;=2),277,IF(AND(L110="Mittellos und ambulant",D113&gt;0,D113&lt;=1),339,IF(AND(L110="Mittellos und stationär",D113&gt;8,D113&lt;=1000),102,IF(AND(L110="Mittellos und stationär",D113&gt;4,D113&lt;=8),141,IF(AND(L110="Mittellos und stationär",D113&gt;2,D113&lt;=4),202,IF(AND(L110="Mittellos und stationär",D113&gt;1,D113&lt;=2),208,IF(AND(L110="Mittellos und stationär",D113&gt;0,D113&lt;=1),317,""))))))))))))))))))))),"")))*3+(J109*90)</f>
        <v>606</v>
      </c>
      <c r="M114" s="507" t="str">
        <f>CONCATENATE(K114, K113)</f>
        <v>+Inflat.-P</v>
      </c>
      <c r="N114" s="216"/>
      <c r="O114" s="188" t="s">
        <v>118</v>
      </c>
      <c r="P114" s="188"/>
      <c r="Q114" s="221"/>
      <c r="R114" s="199"/>
      <c r="S114" s="190"/>
      <c r="T114" s="190"/>
      <c r="U114" s="191"/>
      <c r="V114" s="192"/>
      <c r="W114" s="222" t="s">
        <v>118</v>
      </c>
      <c r="X114" s="222" t="s">
        <v>117</v>
      </c>
      <c r="Y114" s="191" t="s">
        <v>26</v>
      </c>
      <c r="Z114" s="192"/>
      <c r="AA114" s="190"/>
      <c r="AB114" s="190"/>
      <c r="AC114" s="191"/>
      <c r="AD114" s="192"/>
      <c r="AE114" s="190"/>
      <c r="AF114" s="190"/>
      <c r="AG114" s="191"/>
      <c r="AH114" s="193"/>
      <c r="AI114" s="190"/>
      <c r="AJ114" s="190"/>
      <c r="AK114" s="374"/>
      <c r="AL114" s="348" t="s">
        <v>149</v>
      </c>
      <c r="AM114" s="354"/>
      <c r="AN114" s="354">
        <f>IF(SUM(O110:O118)=SUM(W110:W118), 0, SUM(O110:O118)-SUM(W110:W118))</f>
        <v>0</v>
      </c>
      <c r="AO114" s="354"/>
      <c r="AP114" s="354"/>
      <c r="AQ114" s="350">
        <f>AM114+AN114+AO114+AP114</f>
        <v>0</v>
      </c>
      <c r="AR114" s="769"/>
      <c r="AS114" s="769"/>
      <c r="AT114" s="769"/>
      <c r="AW114"/>
      <c r="AX114"/>
      <c r="AY114" s="280"/>
      <c r="AZ114"/>
      <c r="BA114"/>
      <c r="BB114"/>
      <c r="BC114"/>
      <c r="BD114"/>
      <c r="BE114"/>
      <c r="BF114"/>
      <c r="BG114" s="280"/>
      <c r="BH114"/>
      <c r="BI114"/>
      <c r="BJ114"/>
      <c r="BK114"/>
      <c r="BL114"/>
      <c r="BM114"/>
      <c r="BN114"/>
      <c r="BO114"/>
      <c r="BS114" s="335"/>
      <c r="BT114" s="335"/>
      <c r="BU114" s="335"/>
      <c r="BV114" s="335"/>
      <c r="BW114" s="335"/>
      <c r="BX114" s="335"/>
      <c r="BY114" s="335"/>
      <c r="BZ114" s="335"/>
      <c r="CA114" s="335"/>
      <c r="CB114" s="335"/>
      <c r="CC114" s="335"/>
      <c r="CD114" s="335"/>
      <c r="CE114" s="335"/>
      <c r="CF114" s="335"/>
      <c r="CG114" s="335"/>
      <c r="CH114" s="335"/>
      <c r="CI114" s="335"/>
    </row>
    <row r="115" spans="1:87" ht="22.25" customHeight="1">
      <c r="A115" s="181">
        <f t="shared" si="38"/>
        <v>45292</v>
      </c>
      <c r="B115" s="484">
        <f>YEAR($A116)-1</f>
        <v>2023</v>
      </c>
      <c r="C115" s="489" t="s">
        <v>158</v>
      </c>
      <c r="D115" s="520">
        <f>D113+1</f>
        <v>5</v>
      </c>
      <c r="E115" s="194">
        <f>DATE(YEAR(E114),MONTH(E114),DAY(E114)+1)</f>
        <v>45434</v>
      </c>
      <c r="F115" s="195">
        <f t="shared" si="49"/>
        <v>22</v>
      </c>
      <c r="G115" s="196">
        <f t="shared" si="50"/>
        <v>5</v>
      </c>
      <c r="H115" s="195">
        <f t="shared" si="51"/>
        <v>2024</v>
      </c>
      <c r="I115" s="223" t="str">
        <f>IF(J117&lt;13,J117,"")</f>
        <v/>
      </c>
      <c r="J115" s="224">
        <f>G110</f>
        <v>5</v>
      </c>
      <c r="K115" s="506" t="str">
        <f t="shared" si="39"/>
        <v/>
      </c>
      <c r="L115" s="471"/>
      <c r="M115" s="473" t="str">
        <f ca="1">SUM(J110-E116)&amp;" Tage"</f>
        <v>-50 Tage</v>
      </c>
      <c r="N115" s="200"/>
      <c r="O115" s="201"/>
      <c r="P115" s="201"/>
      <c r="Q115" s="202"/>
      <c r="R115" s="189"/>
      <c r="S115" s="203"/>
      <c r="T115" s="203"/>
      <c r="U115" s="204"/>
      <c r="V115" s="192"/>
      <c r="W115" s="203"/>
      <c r="X115" s="203"/>
      <c r="Y115" s="204"/>
      <c r="Z115" s="192"/>
      <c r="AA115" s="203"/>
      <c r="AB115" s="203"/>
      <c r="AC115" s="204"/>
      <c r="AD115" s="192"/>
      <c r="AE115" s="203"/>
      <c r="AF115" s="203"/>
      <c r="AG115" s="204"/>
      <c r="AH115" s="193"/>
      <c r="AI115" s="203"/>
      <c r="AJ115" s="203"/>
      <c r="AK115" s="375"/>
      <c r="AL115" s="348"/>
      <c r="AM115" s="354"/>
      <c r="AN115" s="354"/>
      <c r="AO115" s="354"/>
      <c r="AP115" s="354"/>
      <c r="AQ115" s="350"/>
      <c r="AR115" s="769"/>
      <c r="AS115" s="769"/>
      <c r="AT115" s="769"/>
      <c r="AW115"/>
      <c r="AX115"/>
      <c r="AY115" s="280"/>
      <c r="AZ115"/>
      <c r="BA115"/>
      <c r="BB115"/>
      <c r="BC115"/>
      <c r="BD115"/>
      <c r="BE115"/>
      <c r="BF115"/>
      <c r="BG115" s="280"/>
      <c r="BH115"/>
      <c r="BI115"/>
      <c r="BJ115"/>
      <c r="BK115"/>
      <c r="BL115"/>
      <c r="BM115"/>
      <c r="BN115"/>
      <c r="BO115"/>
      <c r="BS115" s="335"/>
      <c r="BT115" s="335"/>
      <c r="BU115" s="335"/>
      <c r="BV115" s="335"/>
      <c r="BW115" s="335"/>
      <c r="BX115" s="335"/>
      <c r="BY115" s="335"/>
      <c r="BZ115" s="335"/>
      <c r="CA115" s="335"/>
      <c r="CB115" s="335"/>
      <c r="CC115" s="335"/>
      <c r="CD115" s="335"/>
      <c r="CE115" s="335"/>
      <c r="CF115" s="335"/>
      <c r="CG115" s="335"/>
      <c r="CH115" s="335"/>
      <c r="CI115" s="335"/>
    </row>
    <row r="116" spans="1:87" ht="22.25" customHeight="1">
      <c r="A116" s="181">
        <f t="shared" si="38"/>
        <v>45292</v>
      </c>
      <c r="B116" s="485"/>
      <c r="C116" s="490"/>
      <c r="D116" s="521"/>
      <c r="E116" s="194">
        <f>DATE(YEAR(E115),MONTH(E115)+3,DAY(E115)-1)</f>
        <v>45525</v>
      </c>
      <c r="F116" s="195">
        <f t="shared" si="49"/>
        <v>21</v>
      </c>
      <c r="G116" s="196">
        <f t="shared" si="50"/>
        <v>8</v>
      </c>
      <c r="H116" s="195">
        <f t="shared" si="51"/>
        <v>2024</v>
      </c>
      <c r="I116" s="244">
        <f>IF(J118&lt;13,J118,"")</f>
        <v>11</v>
      </c>
      <c r="J116" s="224">
        <f>J115+3</f>
        <v>8</v>
      </c>
      <c r="K116" s="501" t="str">
        <f t="shared" si="39"/>
        <v>+Inflat.-P</v>
      </c>
      <c r="L116" s="511">
        <f>IF(M109="Stufe A",IF(AND(L110="Auswahl treffen",D115&gt;=0,D115&lt;=1000),J109,IF(AND(L110="Vermögend und ambulant",D115&gt;8,D115&lt;=1000),130,IF(AND(L110="Vermögend und ambulant",D115&gt;4,D115&lt;=8),158,IF(AND(L110="Vermögend und ambulant",D115&gt;2,D115&lt;=4),192,IF(AND(L110="Vermögend und ambulant",D115&gt;1,D115&lt;=2),208,IF(AND(L110="Vermögend und ambulant",D115&gt;0,D115&lt;=1),298,IF(AND(L110="Vermögend und stationär",D115&gt;8,D115&lt;=1000),78,IF(AND(L110="Vermögend und stationär",D115&gt;4,D115&lt;=8),91,IF(AND(L110="Vermögend und stationär",D115&gt;2,D115&lt;=4),140,IF(AND(L110="Vermögend und stationär",D115&gt;1,D115&lt;=2),158,IF(AND(L110="Vermögend und stationär",D115&gt;0,D115&lt;=1),200,IF(AND(L110="Mittellos und ambulant",D115&gt;8,D115&lt;=1000),105,IF(AND(L110="Mittellos und ambulant",D115&gt;4,D115&lt;=8),122,IF(AND(L110="Mittellos und ambulant",D115&gt;2,D115&lt;=4),151,IF(AND(L110="Mittellos und ambulant",D115&gt;1,D115&lt;=2),170,IF(AND(L110="Mittellos und ambulant",D115&gt;0,D115&lt;=1),208,IF(AND(L110="Mittellos und stationär",D115&gt;8,D115&lt;=1000),62,IF(AND(L110="Mittellos und stationär",D115&gt;4,D115&lt;=8),87,IF(AND(L110="Mittellos und stationär",D115&gt;2,D115&lt;=4),124,IF(AND(L110="Mittellos und stationär",D115&gt;1,D115&lt;=2),129,IF(AND(L110="Mittellos und stationär",D115&gt;0,D115&lt;=1),194,""))))))))))))))))))))),IF(M109="Stufe B",IF(AND(L110="Auswahl treffen",D115&gt;=0,D115&lt;=1000),J109,IF(AND(L110="Vermögend und ambulant",D115&gt;8,D115&lt;=1000),161,IF(AND(L110="Vermögend und ambulant",D115&gt;4,D115&lt;=8),196,IF(AND(L110="Vermögend und ambulant",D115&gt;2,D115&lt;=4),238,IF(AND(L110="Vermögend und ambulant",D115&gt;1,D115&lt;=2),258,IF(AND(L110="Vermögend und ambulant",D115&gt;0,D115&lt;=1),370,IF(AND(L110="Vermögend und stationär",D115&gt;8,D115&lt;=1000),96,IF(AND(L110="Vermögend und stationär",D115&gt;4,D115&lt;=8),113,IF(AND(L110="Vermögend und stationär",D115&gt;2,D115&lt;=4),174,IF(AND(L110="Vermögend und stationär",D115&gt;1,D115&lt;=2),196,IF(AND(L110="Vermögend und stationär",D115&gt;0,D115&lt;=1),249,IF(AND(L110="Mittellos und ambulant",D115&gt;8,D115&lt;=1000),130,IF(AND(L110="Mittellos und ambulant",D115&gt;4,D115&lt;=8),151,IF(AND(L110="Mittellos und ambulant",D115&gt;2,D115&lt;=4),188,IF(AND(L110="Mittellos und ambulant",D115&gt;1,D115&lt;=2),211,IF(AND(L110="Mittellos und ambulant",D115&gt;0,D115&lt;=1),258,IF(AND(L110="Mittellos und stationär",D115&gt;8,D115&lt;=1000),78,IF(AND(L110="Mittellos und stationär",D115&gt;4,D115&lt;=8),107,IF(AND(L110="Mittellos und stationär",D115&gt;2,D115&lt;=4),154,IF(AND(L110="Mittellos und stationär",D115&gt;1,D115&lt;=2),158,IF(AND(L110="Mittellos und stationär",D115&gt;0,D115&lt;=1),241,""))))))))))))))))))))),IF(M109="Stufe C",IF(AND(L110="Auswahl treffen",D115&gt;=0,D115&lt;=1000),J109,IF(AND(L110="Vermögend und ambulant",D115&gt;8,D115&lt;=1000),211,IF(AND(L110="Vermögend und ambulant",D115&gt;4,D115&lt;=8),257,IF(AND(L110="Vermögend und ambulant",D115&gt;2,D115&lt;=4),312,IF(AND(L110="Vermögend und ambulant",D115&gt;1,D115&lt;=2),339,IF(AND(L110="Vermögend und ambulant",D115&gt;0,D115&lt;=1),486,IF(AND(L110="Vermögend und stationär",D115&gt;8,D115&lt;=1000),127,IF(AND(L110="Vermögend und stationär",D115&gt;4,D115&lt;=8),149,IF(AND(L110="Vermögend und stationär",D115&gt;2,D115&lt;=4),229,IF(AND(L110="Vermögend und stationär",D115&gt;1,D115&lt;=2),257,IF(AND(L110="Vermögend und stationär",D115&gt;0,D115&lt;=1),327,IF(AND(L110="Mittellos und ambulant",D115&gt;8,D115&lt;=1000),171,IF(AND(L110="Mittellos und ambulant",D115&gt;4,D115&lt;=8),198,IF(AND(L110="Mittellos und ambulant",D115&gt;2,D115&lt;=4),246,IF(AND(L110="Mittellos und ambulant",D115&gt;1,D115&lt;=2),277,IF(AND(L110="Mittellos und ambulant",D115&gt;0,D115&lt;=1),339,IF(AND(L110="Mittellos und stationär",D115&gt;8,D115&lt;=1000),102,IF(AND(L110="Mittellos und stationär",D115&gt;4,D115&lt;=8),141,IF(AND(L110="Mittellos und stationär",D115&gt;2,D115&lt;=4),202,IF(AND(L110="Mittellos und stationär",D115&gt;1,D115&lt;=2),208,IF(AND(L110="Mittellos und stationär",D115&gt;0,D115&lt;=1),317,""))))))))))))))))))))),"")))*3+(J109*90)</f>
        <v>423</v>
      </c>
      <c r="M116" s="507" t="str">
        <f>CONCATENATE(K116, K115)</f>
        <v>+Inflat.-P</v>
      </c>
      <c r="N116" s="206"/>
      <c r="O116" s="207"/>
      <c r="P116" s="206" t="s">
        <v>118</v>
      </c>
      <c r="Q116" s="226"/>
      <c r="R116" s="189"/>
      <c r="S116" s="203"/>
      <c r="T116" s="203"/>
      <c r="U116" s="204"/>
      <c r="V116" s="192"/>
      <c r="W116" s="203"/>
      <c r="X116" s="203"/>
      <c r="Y116" s="204"/>
      <c r="Z116" s="192"/>
      <c r="AA116" s="209" t="s">
        <v>118</v>
      </c>
      <c r="AB116" s="209" t="s">
        <v>117</v>
      </c>
      <c r="AC116" s="204" t="s">
        <v>26</v>
      </c>
      <c r="AD116" s="192"/>
      <c r="AE116" s="203"/>
      <c r="AF116" s="203"/>
      <c r="AG116" s="204"/>
      <c r="AH116" s="193"/>
      <c r="AI116" s="203"/>
      <c r="AJ116" s="203"/>
      <c r="AK116" s="375"/>
      <c r="AL116" s="348" t="s">
        <v>150</v>
      </c>
      <c r="AM116" s="354"/>
      <c r="AN116" s="354"/>
      <c r="AO116" s="354">
        <f>IF(SUM(P110:P118)=SUM(AA110:AA118), 0, SUM(P110:P118)-SUM(AA110:AA118))</f>
        <v>0</v>
      </c>
      <c r="AP116" s="354"/>
      <c r="AQ116" s="350">
        <f>AM116+AN116+AO116+AP116</f>
        <v>0</v>
      </c>
      <c r="AR116" s="769"/>
      <c r="AS116" s="769"/>
      <c r="AT116" s="769"/>
      <c r="AW116"/>
      <c r="AX116"/>
      <c r="AY116" s="280"/>
      <c r="AZ116"/>
      <c r="BA116"/>
      <c r="BB116"/>
      <c r="BC116"/>
      <c r="BD116"/>
      <c r="BE116"/>
      <c r="BF116"/>
      <c r="BG116" s="280"/>
      <c r="BH116"/>
      <c r="BI116"/>
      <c r="BJ116"/>
      <c r="BK116"/>
      <c r="BL116"/>
      <c r="BM116"/>
      <c r="BN116"/>
      <c r="BO116"/>
      <c r="BS116" s="335"/>
      <c r="BT116" s="335"/>
      <c r="BU116" s="335"/>
      <c r="BV116" s="335"/>
      <c r="BW116" s="335"/>
      <c r="BX116" s="335"/>
      <c r="BY116" s="335"/>
      <c r="BZ116" s="335"/>
      <c r="CA116" s="335"/>
      <c r="CB116" s="335"/>
      <c r="CC116" s="335"/>
      <c r="CD116" s="335"/>
      <c r="CE116" s="335"/>
      <c r="CF116" s="335"/>
      <c r="CG116" s="335"/>
      <c r="CH116" s="335"/>
      <c r="CI116" s="335"/>
    </row>
    <row r="117" spans="1:87" ht="22.25" customHeight="1">
      <c r="A117" s="181">
        <f t="shared" si="38"/>
        <v>45292</v>
      </c>
      <c r="B117" s="486"/>
      <c r="C117" s="489" t="s">
        <v>158</v>
      </c>
      <c r="D117" s="522">
        <f>D115+1</f>
        <v>6</v>
      </c>
      <c r="E117" s="211">
        <f>DATE(YEAR(E116),MONTH(E116),DAY(E116)+1)</f>
        <v>45526</v>
      </c>
      <c r="F117" s="227">
        <f t="shared" si="49"/>
        <v>22</v>
      </c>
      <c r="G117" s="228">
        <f t="shared" si="50"/>
        <v>8</v>
      </c>
      <c r="H117" s="227">
        <f t="shared" si="51"/>
        <v>2024</v>
      </c>
      <c r="I117" s="231">
        <f>IF(J116&lt;13,J116,"")</f>
        <v>8</v>
      </c>
      <c r="J117" s="230">
        <f>J118+3</f>
        <v>14</v>
      </c>
      <c r="K117" s="501" t="str">
        <f t="shared" si="39"/>
        <v/>
      </c>
      <c r="L117" s="471"/>
      <c r="M117" s="473" t="str">
        <f ca="1">SUM(J110-E118)&amp;" Tage"</f>
        <v>-142 Tage</v>
      </c>
      <c r="N117" s="216"/>
      <c r="O117" s="188"/>
      <c r="P117" s="188"/>
      <c r="Q117" s="217"/>
      <c r="R117" s="189"/>
      <c r="S117" s="190"/>
      <c r="T117" s="190"/>
      <c r="U117" s="191"/>
      <c r="V117" s="192"/>
      <c r="W117" s="190"/>
      <c r="X117" s="190"/>
      <c r="Y117" s="191"/>
      <c r="Z117" s="192"/>
      <c r="AA117" s="190"/>
      <c r="AB117" s="190"/>
      <c r="AC117" s="191"/>
      <c r="AD117" s="192"/>
      <c r="AE117" s="190"/>
      <c r="AF117" s="190"/>
      <c r="AG117" s="191"/>
      <c r="AH117" s="193"/>
      <c r="AI117" s="190"/>
      <c r="AJ117" s="190"/>
      <c r="AK117" s="374"/>
      <c r="AL117" s="348"/>
      <c r="AM117" s="354"/>
      <c r="AN117" s="354"/>
      <c r="AO117" s="354"/>
      <c r="AP117" s="354"/>
      <c r="AQ117" s="350"/>
      <c r="AR117" s="769"/>
      <c r="AS117" s="769"/>
      <c r="AT117" s="769"/>
      <c r="AW117"/>
      <c r="AX117"/>
      <c r="AY117" s="280"/>
      <c r="AZ117"/>
      <c r="BA117"/>
      <c r="BB117"/>
      <c r="BC117"/>
      <c r="BD117"/>
      <c r="BE117"/>
      <c r="BF117"/>
      <c r="BG117" s="280"/>
      <c r="BH117"/>
      <c r="BI117"/>
      <c r="BJ117"/>
      <c r="BK117"/>
      <c r="BL117"/>
      <c r="BM117"/>
      <c r="BN117"/>
      <c r="BO117"/>
      <c r="BS117" s="335"/>
      <c r="BT117" s="335"/>
      <c r="BU117" s="335"/>
      <c r="BV117" s="335"/>
      <c r="BW117" s="335"/>
      <c r="BX117" s="335"/>
      <c r="BY117" s="335"/>
      <c r="BZ117" s="335"/>
      <c r="CA117" s="335"/>
      <c r="CB117" s="335"/>
      <c r="CC117" s="335"/>
      <c r="CD117" s="335"/>
      <c r="CE117" s="335"/>
      <c r="CF117" s="335"/>
      <c r="CG117" s="335"/>
      <c r="CH117" s="335"/>
      <c r="CI117" s="335"/>
    </row>
    <row r="118" spans="1:87" ht="22.25" customHeight="1">
      <c r="A118" s="181">
        <f t="shared" si="38"/>
        <v>45292</v>
      </c>
      <c r="B118" s="485"/>
      <c r="C118" s="490"/>
      <c r="D118" s="521"/>
      <c r="E118" s="218">
        <f>DATE(YEAR(E117),MONTH(E117)+3,DAY(E117)-1)</f>
        <v>45617</v>
      </c>
      <c r="F118" s="227">
        <f t="shared" si="49"/>
        <v>21</v>
      </c>
      <c r="G118" s="228">
        <f t="shared" si="50"/>
        <v>11</v>
      </c>
      <c r="H118" s="227">
        <f t="shared" si="51"/>
        <v>2024</v>
      </c>
      <c r="I118" s="231">
        <f>IF(J115&lt;13,J115,"")</f>
        <v>5</v>
      </c>
      <c r="J118" s="230">
        <f>J116+3</f>
        <v>11</v>
      </c>
      <c r="K118" s="506" t="str">
        <f t="shared" si="39"/>
        <v>+Inflat.-P</v>
      </c>
      <c r="L118" s="508">
        <f>IF(M109="Stufe A",IF(AND(L110="Auswahl treffen",D117&gt;=0,D117&lt;=1000),J109,IF(AND(L110="Vermögend und ambulant",D117&gt;8,D117&lt;=1000),130,IF(AND(L110="Vermögend und ambulant",D117&gt;4,D117&lt;=8),158,IF(AND(L110="Vermögend und ambulant",D117&gt;2,D117&lt;=4),192,IF(AND(L110="Vermögend und ambulant",D117&gt;1,D117&lt;=2),208,IF(AND(L110="Vermögend und ambulant",D117&gt;0,D117&lt;=1),298,IF(AND(L110="Vermögend und stationär",D117&gt;8,D117&lt;=1000),78,IF(AND(L110="Vermögend und stationär",D117&gt;4,D117&lt;=8),91,IF(AND(L110="Vermögend und stationär",D117&gt;2,D117&lt;=4),140,IF(AND(L110="Vermögend und stationär",D117&gt;1,D117&lt;=2),158,IF(AND(L110="Vermögend und stationär",D117&gt;0,D117&lt;=1),200,IF(AND(L110="Mittellos und ambulant",D117&gt;8,D117&lt;=1000),105,IF(AND(L110="Mittellos und ambulant",D117&gt;4,D117&lt;=8),122,IF(AND(L110="Mittellos und ambulant",D117&gt;2,D117&lt;=4),151,IF(AND(L110="Mittellos und ambulant",D117&gt;1,D117&lt;=2),170,IF(AND(L110="Mittellos und ambulant",D117&gt;0,D117&lt;=1),208,IF(AND(L110="Mittellos und stationär",D117&gt;8,D117&lt;=1000),62,IF(AND(L110="Mittellos und stationär",D117&gt;4,D117&lt;=8),87,IF(AND(L110="Mittellos und stationär",D117&gt;2,D117&lt;=4),124,IF(AND(L110="Mittellos und stationär",D117&gt;1,D117&lt;=2),129,IF(AND(L110="Mittellos und stationär",D117&gt;0,D117&lt;=1),194,""))))))))))))))))))))),IF(M109="Stufe B",IF(AND(L110="Auswahl treffen",D117&gt;=0,D117&lt;=1000),J109,IF(AND(L110="Vermögend und ambulant",D117&gt;8,D117&lt;=1000),161,IF(AND(L110="Vermögend und ambulant",D117&gt;4,D117&lt;=8),196,IF(AND(L110="Vermögend und ambulant",D117&gt;2,D117&lt;=4),238,IF(AND(L110="Vermögend und ambulant",D117&gt;1,D117&lt;=2),258,IF(AND(L110="Vermögend und ambulant",D117&gt;0,D117&lt;=1),370,IF(AND(L110="Vermögend und stationär",D117&gt;8,D117&lt;=1000),96,IF(AND(L110="Vermögend und stationär",D117&gt;4,D117&lt;=8),113,IF(AND(L110="Vermögend und stationär",D117&gt;2,D117&lt;=4),174,IF(AND(L110="Vermögend und stationär",D117&gt;1,D117&lt;=2),196,IF(AND(L110="Vermögend und stationär",D117&gt;0,D117&lt;=1),249,IF(AND(L110="Mittellos und ambulant",D117&gt;8,D117&lt;=1000),130,IF(AND(L110="Mittellos und ambulant",D117&gt;4,D117&lt;=8),151,IF(AND(L110="Mittellos und ambulant",D117&gt;2,D117&lt;=4),188,IF(AND(L110="Mittellos und ambulant",D117&gt;1,D117&lt;=2),211,IF(AND(L110="Mittellos und ambulant",D117&gt;0,D117&lt;=1),258,IF(AND(L110="Mittellos und stationär",D117&gt;8,D117&lt;=1000),78,IF(AND(L110="Mittellos und stationär",D117&gt;4,D117&lt;=8),107,IF(AND(L110="Mittellos und stationär",D117&gt;2,D117&lt;=4),154,IF(AND(L110="Mittellos und stationär",D117&gt;1,D117&lt;=2),158,IF(AND(L110="Mittellos und stationär",D117&gt;0,D117&lt;=1),241,""))))))))))))))))))))),IF(M109="Stufe C",IF(AND(L110="Auswahl treffen",D117&gt;=0,D117&lt;=1000),J109,IF(AND(L110="Vermögend und ambulant",D117&gt;8,D117&lt;=1000),211,IF(AND(L110="Vermögend und ambulant",D117&gt;4,D117&lt;=8),257,IF(AND(L110="Vermögend und ambulant",D117&gt;2,D117&lt;=4),312,IF(AND(L110="Vermögend und ambulant",D117&gt;1,D117&lt;=2),339,IF(AND(L110="Vermögend und ambulant",D117&gt;0,D117&lt;=1),486,IF(AND(L110="Vermögend und stationär",D117&gt;8,D117&lt;=1000),127,IF(AND(L110="Vermögend und stationär",D117&gt;4,D117&lt;=8),149,IF(AND(L110="Vermögend und stationär",D117&gt;2,D117&lt;=4),229,IF(AND(L110="Vermögend und stationär",D117&gt;1,D117&lt;=2),257,IF(AND(L110="Vermögend und stationär",D117&gt;0,D117&lt;=1),327,IF(AND(L110="Mittellos und ambulant",D117&gt;8,D117&lt;=1000),171,IF(AND(L110="Mittellos und ambulant",D117&gt;4,D117&lt;=8),198,IF(AND(L110="Mittellos und ambulant",D117&gt;2,D117&lt;=4),246,IF(AND(L110="Mittellos und ambulant",D117&gt;1,D117&lt;=2),277,IF(AND(L110="Mittellos und ambulant",D117&gt;0,D117&lt;=1),339,IF(AND(L110="Mittellos und stationär",D117&gt;8,D117&lt;=1000),102,IF(AND(L110="Mittellos und stationär",D117&gt;4,D117&lt;=8),141,IF(AND(L110="Mittellos und stationär",D117&gt;2,D117&lt;=4),202,IF(AND(L110="Mittellos und stationär",D117&gt;1,D117&lt;=2),208,IF(AND(L110="Mittellos und stationär",D117&gt;0,D117&lt;=1),317,""))))))))))))))))))))),"")))*3+(J109*90)</f>
        <v>423</v>
      </c>
      <c r="M118" s="507" t="str">
        <f>CONCATENATE(K118, K117)</f>
        <v>+Inflat.-P</v>
      </c>
      <c r="N118" s="216"/>
      <c r="O118" s="188"/>
      <c r="P118" s="188"/>
      <c r="Q118" s="217" t="s">
        <v>118</v>
      </c>
      <c r="R118" s="189"/>
      <c r="S118" s="190"/>
      <c r="T118" s="190"/>
      <c r="U118" s="191"/>
      <c r="V118" s="192"/>
      <c r="W118" s="190"/>
      <c r="X118" s="190"/>
      <c r="Y118" s="191"/>
      <c r="Z118" s="192"/>
      <c r="AA118" s="190"/>
      <c r="AB118" s="190"/>
      <c r="AC118" s="191"/>
      <c r="AD118" s="192"/>
      <c r="AE118" s="190" t="s">
        <v>118</v>
      </c>
      <c r="AF118" s="190" t="s">
        <v>117</v>
      </c>
      <c r="AG118" s="191" t="s">
        <v>26</v>
      </c>
      <c r="AH118" s="193"/>
      <c r="AI118" s="190" t="s">
        <v>118</v>
      </c>
      <c r="AJ118" s="190" t="s">
        <v>117</v>
      </c>
      <c r="AK118" s="374" t="s">
        <v>26</v>
      </c>
      <c r="AL118" s="348" t="s">
        <v>151</v>
      </c>
      <c r="AM118" s="354"/>
      <c r="AN118" s="354"/>
      <c r="AO118" s="354"/>
      <c r="AP118" s="354">
        <f>IF(SUM(Q110:Q118)=SUM(AE110:AE118,AI110:AI118), 0, SUM(Q110:Q118)-SUM(AE110:AE118,AI110:AI118))</f>
        <v>0</v>
      </c>
      <c r="AQ118" s="350">
        <f>AM118+AN118+AO118+AP118</f>
        <v>0</v>
      </c>
      <c r="AR118" s="769"/>
      <c r="AS118" s="769"/>
      <c r="AT118" s="769"/>
      <c r="AW118"/>
      <c r="AX118"/>
      <c r="AY118" s="280"/>
      <c r="AZ118"/>
      <c r="BA118"/>
      <c r="BB118"/>
      <c r="BC118"/>
      <c r="BD118"/>
      <c r="BE118"/>
      <c r="BF118"/>
      <c r="BG118" s="280"/>
      <c r="BH118"/>
      <c r="BI118"/>
      <c r="BJ118"/>
      <c r="BK118"/>
      <c r="BL118"/>
      <c r="BM118"/>
      <c r="BN118"/>
      <c r="BO118"/>
      <c r="BS118" s="335"/>
      <c r="BT118" s="335"/>
      <c r="BU118" s="335"/>
      <c r="BV118" s="335"/>
      <c r="BW118" s="335"/>
      <c r="BX118" s="335"/>
      <c r="BY118" s="335"/>
      <c r="BZ118" s="335"/>
      <c r="CA118" s="335"/>
      <c r="CB118" s="335"/>
      <c r="CC118" s="335"/>
      <c r="CD118" s="335"/>
      <c r="CE118" s="335"/>
      <c r="CF118" s="335"/>
      <c r="CG118" s="335"/>
      <c r="CH118" s="335"/>
      <c r="CI118" s="335"/>
    </row>
    <row r="119" spans="1:87" ht="22" customHeight="1">
      <c r="A119" s="181">
        <f t="shared" si="38"/>
        <v>45292</v>
      </c>
      <c r="B119" s="232" t="s">
        <v>74</v>
      </c>
      <c r="C119" s="233" t="s">
        <v>75</v>
      </c>
      <c r="D119" s="234" t="s">
        <v>76</v>
      </c>
      <c r="E119" s="235" t="s">
        <v>11</v>
      </c>
      <c r="F119" s="235" t="s">
        <v>4</v>
      </c>
      <c r="G119" s="235" t="s">
        <v>5</v>
      </c>
      <c r="H119" s="235" t="s">
        <v>6</v>
      </c>
      <c r="I119" s="236" t="s">
        <v>77</v>
      </c>
      <c r="J119" s="306"/>
      <c r="K119" s="501" t="str">
        <f t="shared" si="39"/>
        <v/>
      </c>
      <c r="L119" s="306" t="str">
        <f>IFERROR(VLOOKUP(B120,'Aktuelle Einnahmen'!A2:J104,10,0),"")</f>
        <v/>
      </c>
      <c r="M119" s="510" t="str">
        <f>M109</f>
        <v>Stufe C</v>
      </c>
      <c r="N119" s="237"/>
      <c r="O119" s="238"/>
      <c r="P119" s="238"/>
      <c r="Q119" s="239"/>
      <c r="R119" s="240"/>
      <c r="S119" s="241"/>
      <c r="T119" s="241"/>
      <c r="U119" s="242"/>
      <c r="V119" s="243"/>
      <c r="W119" s="241"/>
      <c r="X119" s="241"/>
      <c r="Y119" s="242"/>
      <c r="Z119" s="243"/>
      <c r="AA119" s="241"/>
      <c r="AB119" s="241"/>
      <c r="AC119" s="242"/>
      <c r="AD119" s="243"/>
      <c r="AE119" s="241"/>
      <c r="AF119" s="241"/>
      <c r="AG119" s="242"/>
      <c r="AH119" s="240"/>
      <c r="AI119" s="241"/>
      <c r="AJ119" s="241"/>
      <c r="AK119" s="377"/>
      <c r="AL119" s="347"/>
      <c r="AM119" s="353"/>
      <c r="AN119" s="353"/>
      <c r="AO119" s="353"/>
      <c r="AP119" s="353"/>
      <c r="AQ119" s="349"/>
      <c r="AR119" s="768"/>
      <c r="AS119" s="768"/>
      <c r="AT119" s="768"/>
      <c r="AW119"/>
      <c r="AX119"/>
      <c r="AY119" s="280"/>
      <c r="AZ119"/>
      <c r="BA119"/>
      <c r="BB119"/>
      <c r="BC119"/>
      <c r="BD119"/>
      <c r="BE119"/>
      <c r="BF119"/>
      <c r="BG119" s="280"/>
      <c r="BH119"/>
      <c r="BI119"/>
      <c r="BJ119"/>
      <c r="BK119"/>
      <c r="BL119"/>
      <c r="BM119"/>
      <c r="BN119"/>
      <c r="BO119"/>
      <c r="BS119" s="335"/>
      <c r="BT119" s="335"/>
      <c r="BU119" s="335"/>
      <c r="BV119" s="335"/>
      <c r="BW119" s="335"/>
      <c r="BX119" s="335"/>
      <c r="BY119" s="335"/>
      <c r="BZ119" s="335"/>
      <c r="CA119" s="335"/>
      <c r="CB119" s="335"/>
      <c r="CC119" s="335"/>
      <c r="CD119" s="335"/>
      <c r="CE119" s="335"/>
      <c r="CF119" s="335"/>
      <c r="CG119" s="335"/>
      <c r="CH119" s="335"/>
      <c r="CI119" s="335"/>
    </row>
    <row r="120" spans="1:87" ht="23" customHeight="1">
      <c r="A120" s="181">
        <f t="shared" si="38"/>
        <v>45292</v>
      </c>
      <c r="B120" s="182">
        <v>12</v>
      </c>
      <c r="C120" s="183" t="str">
        <f>IFERROR(VLOOKUP($B120,'Aktuelle Einnahmen'!A2:G104,3,0),"")</f>
        <v>Lopez</v>
      </c>
      <c r="D120" s="184" t="str">
        <f>IFERROR(VLOOKUP($B120,'Aktuelle Einnahmen'!A2:G104,2,0),"")</f>
        <v>Liam</v>
      </c>
      <c r="E120" s="185" t="str">
        <f>IFERROR(VLOOKUP($B120,'Aktuelle Einnahmen'!A2:G104,4,0),"")</f>
        <v>7 XVII 156/22 L</v>
      </c>
      <c r="F120" s="94">
        <f>IFERROR(VLOOKUP($B120,'Aktuelle Einnahmen'!A2:G104,5,0),"")</f>
        <v>23</v>
      </c>
      <c r="G120" s="94">
        <f>IFERROR(VLOOKUP($B120,'Aktuelle Einnahmen'!A2:G104,6,0),"")</f>
        <v>1</v>
      </c>
      <c r="H120" s="94">
        <f>IFERROR(VLOOKUP($B120,'Aktuelle Einnahmen'!A2:G104,7,0),"")</f>
        <v>24</v>
      </c>
      <c r="I120" s="186">
        <f>DATE(H120,G120,F120)</f>
        <v>8789</v>
      </c>
      <c r="J120" s="472">
        <f ca="1">J110</f>
        <v>45475</v>
      </c>
      <c r="K120" s="506" t="str">
        <f t="shared" si="39"/>
        <v>+Inflat.-P</v>
      </c>
      <c r="L120" s="1262" t="str">
        <f>IFERROR(VLOOKUP(B120,'Aktuelle Einnahmen'!A2:I104,9,0),"")</f>
        <v>Mittellos und ambulant</v>
      </c>
      <c r="M120" s="1263"/>
      <c r="N120" s="261"/>
      <c r="O120" s="261"/>
      <c r="P120" s="261"/>
      <c r="Q120" s="261"/>
      <c r="R120" s="189"/>
      <c r="S120" s="190"/>
      <c r="T120" s="190"/>
      <c r="U120" s="191"/>
      <c r="V120" s="192"/>
      <c r="W120" s="190"/>
      <c r="X120" s="190"/>
      <c r="Y120" s="191"/>
      <c r="Z120" s="192"/>
      <c r="AA120" s="190"/>
      <c r="AB120" s="190"/>
      <c r="AC120" s="191"/>
      <c r="AD120" s="192"/>
      <c r="AE120" s="190"/>
      <c r="AF120" s="190"/>
      <c r="AG120" s="191"/>
      <c r="AH120" s="193"/>
      <c r="AI120" s="190"/>
      <c r="AJ120" s="190"/>
      <c r="AK120" s="374"/>
      <c r="AL120" s="348"/>
      <c r="AM120" s="354"/>
      <c r="AN120" s="354"/>
      <c r="AO120" s="354"/>
      <c r="AP120" s="354"/>
      <c r="AQ120" s="350"/>
      <c r="AR120" s="769"/>
      <c r="AS120" s="769"/>
      <c r="AT120" s="769"/>
      <c r="AW120"/>
      <c r="AX120"/>
      <c r="AY120" s="280"/>
      <c r="AZ120"/>
      <c r="BA120"/>
      <c r="BB120"/>
      <c r="BC120"/>
      <c r="BD120"/>
      <c r="BE120"/>
      <c r="BF120"/>
      <c r="BG120" s="280"/>
      <c r="BH120"/>
      <c r="BI120"/>
      <c r="BJ120"/>
      <c r="BK120"/>
      <c r="BL120"/>
      <c r="BM120"/>
      <c r="BN120"/>
      <c r="BO120"/>
      <c r="BS120" s="335"/>
      <c r="BT120" s="335"/>
      <c r="BU120" s="335"/>
      <c r="BV120" s="335"/>
      <c r="BW120" s="335"/>
      <c r="BX120" s="335"/>
      <c r="BY120" s="335"/>
      <c r="BZ120" s="335"/>
      <c r="CA120" s="335"/>
      <c r="CB120" s="335"/>
      <c r="CC120" s="335"/>
      <c r="CD120" s="335"/>
      <c r="CE120" s="335"/>
      <c r="CF120" s="335"/>
      <c r="CG120" s="335"/>
      <c r="CH120" s="335"/>
      <c r="CI120" s="335"/>
    </row>
    <row r="121" spans="1:87" ht="22.25" customHeight="1">
      <c r="A121" s="181">
        <f t="shared" si="38"/>
        <v>45292</v>
      </c>
      <c r="B121" s="484">
        <f>DAY(I120)</f>
        <v>23</v>
      </c>
      <c r="C121" s="489" t="s">
        <v>158</v>
      </c>
      <c r="D121" s="520">
        <f>(I121*4)+J121/3+1</f>
        <v>0</v>
      </c>
      <c r="E121" s="194">
        <f>J123+1</f>
        <v>45223</v>
      </c>
      <c r="F121" s="195">
        <f t="shared" ref="F121:F128" si="52">DAY(E121)</f>
        <v>24</v>
      </c>
      <c r="G121" s="196">
        <f t="shared" ref="G121:G128" si="53">MONTH(E121)</f>
        <v>10</v>
      </c>
      <c r="H121" s="195">
        <f t="shared" ref="H121:H128" si="54">YEAR(E121)</f>
        <v>2023</v>
      </c>
      <c r="I121" s="197">
        <f>H121-(H120+2000)</f>
        <v>-1</v>
      </c>
      <c r="J121" s="198">
        <f>G121-G120</f>
        <v>9</v>
      </c>
      <c r="K121" s="506" t="str">
        <f>L119</f>
        <v/>
      </c>
      <c r="L121" s="469"/>
      <c r="M121" s="473" t="str">
        <f ca="1">SUM(J120-E122)&amp;" Tage"</f>
        <v>161 Tage</v>
      </c>
      <c r="N121" s="206"/>
      <c r="O121" s="201"/>
      <c r="P121" s="201"/>
      <c r="Q121" s="202"/>
      <c r="R121" s="189"/>
      <c r="S121" s="203"/>
      <c r="T121" s="203"/>
      <c r="U121" s="204"/>
      <c r="V121" s="192"/>
      <c r="W121" s="203"/>
      <c r="X121" s="203"/>
      <c r="Y121" s="204"/>
      <c r="Z121" s="192"/>
      <c r="AA121" s="203"/>
      <c r="AB121" s="203"/>
      <c r="AC121" s="204"/>
      <c r="AD121" s="192"/>
      <c r="AE121" s="203"/>
      <c r="AF121" s="203"/>
      <c r="AG121" s="204"/>
      <c r="AH121" s="193"/>
      <c r="AI121" s="203"/>
      <c r="AJ121" s="203"/>
      <c r="AK121" s="375"/>
      <c r="AL121" s="348"/>
      <c r="AM121" s="354"/>
      <c r="AN121" s="354"/>
      <c r="AO121" s="354"/>
      <c r="AP121" s="354"/>
      <c r="AQ121" s="350"/>
      <c r="AR121" s="769"/>
      <c r="AS121" s="769"/>
      <c r="AT121" s="769"/>
      <c r="AW121"/>
      <c r="AX121"/>
      <c r="AY121" s="280"/>
      <c r="AZ121"/>
      <c r="BA121"/>
      <c r="BB121"/>
      <c r="BC121"/>
      <c r="BD121"/>
      <c r="BE121"/>
      <c r="BF121"/>
      <c r="BG121" s="280"/>
      <c r="BH121"/>
      <c r="BI121"/>
      <c r="BJ121"/>
      <c r="BK121"/>
      <c r="BL121"/>
      <c r="BM121"/>
      <c r="BN121"/>
      <c r="BO121"/>
      <c r="BS121" s="335"/>
      <c r="BT121" s="335"/>
      <c r="BU121" s="335"/>
      <c r="BV121" s="335"/>
      <c r="BW121" s="335"/>
      <c r="BX121" s="335"/>
      <c r="BY121" s="335"/>
      <c r="BZ121" s="335"/>
      <c r="CA121" s="335"/>
      <c r="CB121" s="335"/>
      <c r="CC121" s="335"/>
      <c r="CD121" s="335"/>
      <c r="CE121" s="335"/>
      <c r="CF121" s="335"/>
      <c r="CG121" s="335"/>
      <c r="CH121" s="335"/>
      <c r="CI121" s="335"/>
    </row>
    <row r="122" spans="1:87" ht="22.25" customHeight="1">
      <c r="A122" s="181">
        <f t="shared" si="38"/>
        <v>45292</v>
      </c>
      <c r="B122" s="485"/>
      <c r="C122" s="490"/>
      <c r="D122" s="521"/>
      <c r="E122" s="194">
        <f>DATE(YEAR(E121),MONTH(E121)+3,DAY(E121)-1)</f>
        <v>45314</v>
      </c>
      <c r="F122" s="195">
        <f t="shared" si="52"/>
        <v>23</v>
      </c>
      <c r="G122" s="196">
        <f t="shared" si="53"/>
        <v>1</v>
      </c>
      <c r="H122" s="195">
        <f t="shared" si="54"/>
        <v>2024</v>
      </c>
      <c r="I122" s="244">
        <v>-1</v>
      </c>
      <c r="J122" s="198">
        <f>F121-F120</f>
        <v>1</v>
      </c>
      <c r="K122" s="506" t="str">
        <f t="shared" si="39"/>
        <v>+Inflat.-P</v>
      </c>
      <c r="L122" s="511" t="e">
        <f>IF(M119="Stufe A",IF(AND(L120="Auswahl treffen",D121&gt;=0,D121&lt;=1000),J119,IF(AND(L120="Vermögend und ambulant",D121&gt;8,D121&lt;=1000),130,IF(AND(L120="Vermögend und ambulant",D121&gt;4,D121&lt;=8),158,IF(AND(L120="Vermögend und ambulant",D121&gt;2,D121&lt;=4),192,IF(AND(L120="Vermögend und ambulant",D121&gt;1,D121&lt;=2),208,IF(AND(L120="Vermögend und ambulant",D121&gt;0,D121&lt;=1),298,IF(AND(L120="Vermögend und stationär",D121&gt;8,D121&lt;=1000),78,IF(AND(L120="Vermögend und stationär",D121&gt;4,D121&lt;=8),91,IF(AND(L120="Vermögend und stationär",D121&gt;2,D121&lt;=4),140,IF(AND(L120="Vermögend und stationär",D121&gt;1,D121&lt;=2),158,IF(AND(L120="Vermögend und stationär",D121&gt;0,D121&lt;=1),200,IF(AND(L120="Mittellos und ambulant",D121&gt;8,D121&lt;=1000),105,IF(AND(L120="Mittellos und ambulant",D121&gt;4,D121&lt;=8),122,IF(AND(L120="Mittellos und ambulant",D121&gt;2,D121&lt;=4),151,IF(AND(L120="Mittellos und ambulant",D121&gt;1,D121&lt;=2),170,IF(AND(L120="Mittellos und ambulant",D121&gt;0,D121&lt;=1),208,IF(AND(L120="Mittellos und stationär",D121&gt;8,D121&lt;=1000),62,IF(AND(L120="Mittellos und stationär",D121&gt;4,D121&lt;=8),87,IF(AND(L120="Mittellos und stationär",D121&gt;2,D121&lt;=4),124,IF(AND(L120="Mittellos und stationär",D121&gt;1,D121&lt;=2),129,IF(AND(L120="Mittellos und stationär",D121&gt;0,D121&lt;=1),194,""))))))))))))))))))))),IF(M119="Stufe B",IF(AND(L120="Auswahl treffen",D121&gt;=0,D121&lt;=1000),J119,IF(AND(L120="Vermögend und ambulant",D121&gt;8,D121&lt;=1000),161,IF(AND(L120="Vermögend und ambulant",D121&gt;4,D121&lt;=8),196,IF(AND(L120="Vermögend und ambulant",D121&gt;2,D121&lt;=4),238,IF(AND(L120="Vermögend und ambulant",D121&gt;1,D121&lt;=2),258,IF(AND(L120="Vermögend und ambulant",D121&gt;0,D121&lt;=1),370,IF(AND(L120="Vermögend und stationär",D121&gt;8,D121&lt;=1000),96,IF(AND(L120="Vermögend und stationär",D121&gt;4,D121&lt;=8),113,IF(AND(L120="Vermögend und stationär",D121&gt;2,D121&lt;=4),174,IF(AND(L120="Vermögend und stationär",D121&gt;1,D121&lt;=2),196,IF(AND(L120="Vermögend und stationär",D121&gt;0,D121&lt;=1),249,IF(AND(L120="Mittellos und ambulant",D121&gt;8,D121&lt;=1000),130,IF(AND(L120="Mittellos und ambulant",D121&gt;4,D121&lt;=8),151,IF(AND(L120="Mittellos und ambulant",D121&gt;2,D121&lt;=4),188,IF(AND(L120="Mittellos und ambulant",D121&gt;1,D121&lt;=2),211,IF(AND(L120="Mittellos und ambulant",D121&gt;0,D121&lt;=1),258,IF(AND(L120="Mittellos und stationär",D121&gt;8,D121&lt;=1000),78,IF(AND(L120="Mittellos und stationär",D121&gt;4,D121&lt;=8),107,IF(AND(L120="Mittellos und stationär",D121&gt;2,D121&lt;=4),154,IF(AND(L120="Mittellos und stationär",D121&gt;1,D121&lt;=2),158,IF(AND(L120="Mittellos und stationär",D121&gt;0,D121&lt;=1),241,""))))))))))))))))))))),IF(M119="Stufe C",IF(AND(L120="Auswahl treffen",D121&gt;=0,D121&lt;=1000),J119,IF(AND(L120="Vermögend und ambulant",D121&gt;8,D121&lt;=1000),211,IF(AND(L120="Vermögend und ambulant",D121&gt;4,D121&lt;=8),257,IF(AND(L120="Vermögend und ambulant",D121&gt;2,D121&lt;=4),312,IF(AND(L120="Vermögend und ambulant",D121&gt;1,D121&lt;=2),339,IF(AND(L120="Vermögend und ambulant",D121&gt;0,D121&lt;=1),486,IF(AND(L120="Vermögend und stationär",D121&gt;8,D121&lt;=1000),127,IF(AND(L120="Vermögend und stationär",D121&gt;4,D121&lt;=8),149,IF(AND(L120="Vermögend und stationär",D121&gt;2,D121&lt;=4),229,IF(AND(L120="Vermögend und stationär",D121&gt;1,D121&lt;=2),257,IF(AND(L120="Vermögend und stationär",D121&gt;0,D121&lt;=1),327,IF(AND(L120="Mittellos und ambulant",D121&gt;8,D121&lt;=1000),171,IF(AND(L120="Mittellos und ambulant",D121&gt;4,D121&lt;=8),198,IF(AND(L120="Mittellos und ambulant",D121&gt;2,D121&lt;=4),246,IF(AND(L120="Mittellos und ambulant",D121&gt;1,D121&lt;=2),277,IF(AND(L120="Mittellos und ambulant",D121&gt;0,D121&lt;=1),339,IF(AND(L120="Mittellos und stationär",D121&gt;8,D121&lt;=1000),102,IF(AND(L120="Mittellos und stationär",D121&gt;4,D121&lt;=8),141,IF(AND(L120="Mittellos und stationär",D121&gt;2,D121&lt;=4),202,IF(AND(L120="Mittellos und stationär",D121&gt;1,D121&lt;=2),208,IF(AND(L120="Mittellos und stationär",D121&gt;0,D121&lt;=1),317,""))))))))))))))))))))),"")))*3+(J119*90)</f>
        <v>#VALUE!</v>
      </c>
      <c r="M122" s="507" t="str">
        <f>CONCATENATE(K122, K121)</f>
        <v>+Inflat.-P</v>
      </c>
      <c r="N122" s="206" t="s">
        <v>118</v>
      </c>
      <c r="O122" s="207"/>
      <c r="P122" s="207"/>
      <c r="Q122" s="208"/>
      <c r="R122" s="187"/>
      <c r="S122" s="209" t="s">
        <v>118</v>
      </c>
      <c r="T122" s="201" t="s">
        <v>117</v>
      </c>
      <c r="U122" s="210" t="s">
        <v>26</v>
      </c>
      <c r="V122" s="192"/>
      <c r="W122" s="203"/>
      <c r="X122" s="203"/>
      <c r="Y122" s="210"/>
      <c r="Z122" s="192"/>
      <c r="AA122" s="203"/>
      <c r="AB122" s="203"/>
      <c r="AC122" s="210"/>
      <c r="AD122" s="192"/>
      <c r="AE122" s="203"/>
      <c r="AF122" s="203"/>
      <c r="AG122" s="210"/>
      <c r="AH122" s="193"/>
      <c r="AI122" s="203"/>
      <c r="AJ122" s="203"/>
      <c r="AK122" s="376"/>
      <c r="AL122" s="348" t="s">
        <v>148</v>
      </c>
      <c r="AM122" s="354">
        <f>IF(SUM(N120:N128)=SUM(S120:S128), 0, SUM(N120:N128)-SUM(S120:S128))</f>
        <v>0</v>
      </c>
      <c r="AN122" s="354"/>
      <c r="AO122" s="354"/>
      <c r="AP122" s="354"/>
      <c r="AQ122" s="350">
        <f>AM122+AN122+AO122+AP122</f>
        <v>0</v>
      </c>
      <c r="AR122" s="769"/>
      <c r="AS122" s="769"/>
      <c r="AT122" s="769"/>
      <c r="AW122"/>
      <c r="AX122"/>
      <c r="AY122" s="280"/>
      <c r="AZ122"/>
      <c r="BA122"/>
      <c r="BB122"/>
      <c r="BC122"/>
      <c r="BD122"/>
      <c r="BE122"/>
      <c r="BF122"/>
      <c r="BG122" s="280"/>
      <c r="BH122"/>
      <c r="BI122"/>
      <c r="BJ122"/>
      <c r="BK122"/>
      <c r="BL122"/>
      <c r="BM122"/>
      <c r="BN122"/>
      <c r="BO122"/>
      <c r="BS122" s="335"/>
      <c r="BT122" s="335"/>
      <c r="BU122" s="335"/>
      <c r="BV122" s="335"/>
      <c r="BW122" s="335"/>
      <c r="BX122" s="335"/>
      <c r="BY122" s="335"/>
      <c r="BZ122" s="335"/>
      <c r="CA122" s="335"/>
      <c r="CB122" s="335"/>
      <c r="CC122" s="335"/>
      <c r="CD122" s="335"/>
      <c r="CE122" s="335"/>
      <c r="CF122" s="335"/>
      <c r="CG122" s="335"/>
      <c r="CH122" s="335"/>
      <c r="CI122" s="335"/>
    </row>
    <row r="123" spans="1:87" ht="22.25" customHeight="1">
      <c r="A123" s="181">
        <f t="shared" si="38"/>
        <v>45292</v>
      </c>
      <c r="B123" s="484">
        <f>MONTH(I120)</f>
        <v>1</v>
      </c>
      <c r="C123" s="489" t="s">
        <v>158</v>
      </c>
      <c r="D123" s="522">
        <f>D121+1</f>
        <v>1</v>
      </c>
      <c r="E123" s="211">
        <f>DATE(YEAR(E122),MONTH(E122),DAY(E122)+1)</f>
        <v>45315</v>
      </c>
      <c r="F123" s="212">
        <f t="shared" si="52"/>
        <v>24</v>
      </c>
      <c r="G123" s="213">
        <f t="shared" si="53"/>
        <v>1</v>
      </c>
      <c r="H123" s="212">
        <f t="shared" si="54"/>
        <v>2024</v>
      </c>
      <c r="I123" s="214" t="str">
        <f>IF(D120&lt;&gt;0,"-1T","")</f>
        <v>-1T</v>
      </c>
      <c r="J123" s="215">
        <f>DATE($B125,I124,$B121)</f>
        <v>45222</v>
      </c>
      <c r="K123" s="501" t="str">
        <f t="shared" si="39"/>
        <v/>
      </c>
      <c r="L123" s="470"/>
      <c r="M123" s="473" t="str">
        <f ca="1">SUM(J120-E124)&amp;" Tage"</f>
        <v>70 Tage</v>
      </c>
      <c r="N123" s="216"/>
      <c r="O123" s="217"/>
      <c r="P123" s="188"/>
      <c r="Q123" s="217"/>
      <c r="R123" s="189"/>
      <c r="S123" s="190"/>
      <c r="T123" s="190"/>
      <c r="U123" s="191"/>
      <c r="V123" s="192"/>
      <c r="W123" s="190"/>
      <c r="X123" s="190"/>
      <c r="Y123" s="191"/>
      <c r="Z123" s="192"/>
      <c r="AA123" s="190"/>
      <c r="AB123" s="190"/>
      <c r="AC123" s="191"/>
      <c r="AD123" s="192"/>
      <c r="AE123" s="190"/>
      <c r="AF123" s="190"/>
      <c r="AG123" s="191"/>
      <c r="AH123" s="193"/>
      <c r="AI123" s="190"/>
      <c r="AJ123" s="190"/>
      <c r="AK123" s="374"/>
      <c r="AL123" s="348"/>
      <c r="AM123" s="354"/>
      <c r="AN123" s="354"/>
      <c r="AO123" s="354"/>
      <c r="AP123" s="354"/>
      <c r="AQ123" s="350"/>
      <c r="AR123" s="769"/>
      <c r="AS123" s="769"/>
      <c r="AT123" s="769"/>
      <c r="AW123"/>
      <c r="AX123"/>
      <c r="AY123" s="280"/>
      <c r="AZ123"/>
      <c r="BA123"/>
      <c r="BB123"/>
      <c r="BC123"/>
      <c r="BD123"/>
      <c r="BE123"/>
      <c r="BF123"/>
      <c r="BG123" s="280"/>
      <c r="BH123"/>
      <c r="BI123"/>
      <c r="BJ123"/>
      <c r="BK123"/>
      <c r="BL123"/>
      <c r="BM123"/>
      <c r="BN123"/>
      <c r="BO123"/>
      <c r="BS123" s="335"/>
      <c r="BT123" s="335"/>
      <c r="BU123" s="335"/>
      <c r="BV123" s="335"/>
      <c r="BW123" s="335"/>
      <c r="BX123" s="335"/>
      <c r="BY123" s="335"/>
      <c r="BZ123" s="335"/>
      <c r="CA123" s="335"/>
      <c r="CB123" s="335"/>
      <c r="CC123" s="335"/>
      <c r="CD123" s="335"/>
      <c r="CE123" s="335"/>
      <c r="CF123" s="335"/>
      <c r="CG123" s="335"/>
      <c r="CH123" s="335"/>
      <c r="CI123" s="335"/>
    </row>
    <row r="124" spans="1:87" ht="22.25" customHeight="1">
      <c r="A124" s="181">
        <f t="shared" si="38"/>
        <v>45292</v>
      </c>
      <c r="B124" s="485"/>
      <c r="C124" s="490"/>
      <c r="D124" s="521"/>
      <c r="E124" s="218">
        <f>DATE(YEAR(E123),MONTH(E123)+3,DAY(E123)-1)</f>
        <v>45405</v>
      </c>
      <c r="F124" s="212">
        <f t="shared" si="52"/>
        <v>23</v>
      </c>
      <c r="G124" s="213">
        <f t="shared" si="53"/>
        <v>4</v>
      </c>
      <c r="H124" s="212">
        <f t="shared" si="54"/>
        <v>2024</v>
      </c>
      <c r="I124" s="219">
        <f>MAX(I125:I128)</f>
        <v>10</v>
      </c>
      <c r="J124" s="220">
        <f>DATE(YEAR(J123)+1,MONTH(J123),DAY(J123))</f>
        <v>45588</v>
      </c>
      <c r="K124" s="501" t="str">
        <f t="shared" si="39"/>
        <v>+Inflat.-P</v>
      </c>
      <c r="L124" s="508">
        <f>IF(M119="Stufe A",IF(AND(L120="Auswahl treffen",D123&gt;=0,D123&lt;=1000),J119,IF(AND(L120="Vermögend und ambulant",D123&gt;8,D123&lt;=1000),130,IF(AND(L120="Vermögend und ambulant",D123&gt;4,D123&lt;=8),158,IF(AND(L120="Vermögend und ambulant",D123&gt;2,D123&lt;=4),192,IF(AND(L120="Vermögend und ambulant",D123&gt;1,D123&lt;=2),208,IF(AND(L120="Vermögend und ambulant",D123&gt;0,D123&lt;=1),298,IF(AND(L120="Vermögend und stationär",D123&gt;8,D123&lt;=1000),78,IF(AND(L120="Vermögend und stationär",D123&gt;4,D123&lt;=8),91,IF(AND(L120="Vermögend und stationär",D123&gt;2,D123&lt;=4),140,IF(AND(L120="Vermögend und stationär",D123&gt;1,D123&lt;=2),158,IF(AND(L120="Vermögend und stationär",D123&gt;0,D123&lt;=1),200,IF(AND(L120="Mittellos und ambulant",D123&gt;8,D123&lt;=1000),105,IF(AND(L120="Mittellos und ambulant",D123&gt;4,D123&lt;=8),122,IF(AND(L120="Mittellos und ambulant",D123&gt;2,D123&lt;=4),151,IF(AND(L120="Mittellos und ambulant",D123&gt;1,D123&lt;=2),170,IF(AND(L120="Mittellos und ambulant",D123&gt;0,D123&lt;=1),208,IF(AND(L120="Mittellos und stationär",D123&gt;8,D123&lt;=1000),62,IF(AND(L120="Mittellos und stationär",D123&gt;4,D123&lt;=8),87,IF(AND(L120="Mittellos und stationär",D123&gt;2,D123&lt;=4),124,IF(AND(L120="Mittellos und stationär",D123&gt;1,D123&lt;=2),129,IF(AND(L120="Mittellos und stationär",D123&gt;0,D123&lt;=1),194,""))))))))))))))))))))),IF(M119="Stufe B",IF(AND(L120="Auswahl treffen",D123&gt;=0,D123&lt;=1000),J119,IF(AND(L120="Vermögend und ambulant",D123&gt;8,D123&lt;=1000),161,IF(AND(L120="Vermögend und ambulant",D123&gt;4,D123&lt;=8),196,IF(AND(L120="Vermögend und ambulant",D123&gt;2,D123&lt;=4),238,IF(AND(L120="Vermögend und ambulant",D123&gt;1,D123&lt;=2),258,IF(AND(L120="Vermögend und ambulant",D123&gt;0,D123&lt;=1),370,IF(AND(L120="Vermögend und stationär",D123&gt;8,D123&lt;=1000),96,IF(AND(L120="Vermögend und stationär",D123&gt;4,D123&lt;=8),113,IF(AND(L120="Vermögend und stationär",D123&gt;2,D123&lt;=4),174,IF(AND(L120="Vermögend und stationär",D123&gt;1,D123&lt;=2),196,IF(AND(L120="Vermögend und stationär",D123&gt;0,D123&lt;=1),249,IF(AND(L120="Mittellos und ambulant",D123&gt;8,D123&lt;=1000),130,IF(AND(L120="Mittellos und ambulant",D123&gt;4,D123&lt;=8),151,IF(AND(L120="Mittellos und ambulant",D123&gt;2,D123&lt;=4),188,IF(AND(L120="Mittellos und ambulant",D123&gt;1,D123&lt;=2),211,IF(AND(L120="Mittellos und ambulant",D123&gt;0,D123&lt;=1),258,IF(AND(L120="Mittellos und stationär",D123&gt;8,D123&lt;=1000),78,IF(AND(L120="Mittellos und stationär",D123&gt;4,D123&lt;=8),107,IF(AND(L120="Mittellos und stationär",D123&gt;2,D123&lt;=4),154,IF(AND(L120="Mittellos und stationär",D123&gt;1,D123&lt;=2),158,IF(AND(L120="Mittellos und stationär",D123&gt;0,D123&lt;=1),241,""))))))))))))))))))))),IF(M119="Stufe C",IF(AND(L120="Auswahl treffen",D123&gt;=0,D123&lt;=1000),J119,IF(AND(L120="Vermögend und ambulant",D123&gt;8,D123&lt;=1000),211,IF(AND(L120="Vermögend und ambulant",D123&gt;4,D123&lt;=8),257,IF(AND(L120="Vermögend und ambulant",D123&gt;2,D123&lt;=4),312,IF(AND(L120="Vermögend und ambulant",D123&gt;1,D123&lt;=2),339,IF(AND(L120="Vermögend und ambulant",D123&gt;0,D123&lt;=1),486,IF(AND(L120="Vermögend und stationär",D123&gt;8,D123&lt;=1000),127,IF(AND(L120="Vermögend und stationär",D123&gt;4,D123&lt;=8),149,IF(AND(L120="Vermögend und stationär",D123&gt;2,D123&lt;=4),229,IF(AND(L120="Vermögend und stationär",D123&gt;1,D123&lt;=2),257,IF(AND(L120="Vermögend und stationär",D123&gt;0,D123&lt;=1),327,IF(AND(L120="Mittellos und ambulant",D123&gt;8,D123&lt;=1000),171,IF(AND(L120="Mittellos und ambulant",D123&gt;4,D123&lt;=8),198,IF(AND(L120="Mittellos und ambulant",D123&gt;2,D123&lt;=4),246,IF(AND(L120="Mittellos und ambulant",D123&gt;1,D123&lt;=2),277,IF(AND(L120="Mittellos und ambulant",D123&gt;0,D123&lt;=1),339,IF(AND(L120="Mittellos und stationär",D123&gt;8,D123&lt;=1000),102,IF(AND(L120="Mittellos und stationär",D123&gt;4,D123&lt;=8),141,IF(AND(L120="Mittellos und stationär",D123&gt;2,D123&lt;=4),202,IF(AND(L120="Mittellos und stationär",D123&gt;1,D123&lt;=2),208,IF(AND(L120="Mittellos und stationär",D123&gt;0,D123&lt;=1),317,""))))))))))))))))))))),"")))*3+(J119*90)</f>
        <v>1017</v>
      </c>
      <c r="M124" s="507" t="str">
        <f>CONCATENATE(K124, K123)</f>
        <v>+Inflat.-P</v>
      </c>
      <c r="N124" s="216"/>
      <c r="O124" s="188" t="s">
        <v>118</v>
      </c>
      <c r="P124" s="188"/>
      <c r="Q124" s="221"/>
      <c r="R124" s="199"/>
      <c r="S124" s="190"/>
      <c r="T124" s="190"/>
      <c r="U124" s="191"/>
      <c r="V124" s="192"/>
      <c r="W124" s="222" t="s">
        <v>118</v>
      </c>
      <c r="X124" s="222" t="s">
        <v>117</v>
      </c>
      <c r="Y124" s="191" t="s">
        <v>26</v>
      </c>
      <c r="Z124" s="192"/>
      <c r="AA124" s="190"/>
      <c r="AB124" s="190"/>
      <c r="AC124" s="191"/>
      <c r="AD124" s="192"/>
      <c r="AE124" s="190"/>
      <c r="AF124" s="190"/>
      <c r="AG124" s="191"/>
      <c r="AH124" s="193"/>
      <c r="AI124" s="190"/>
      <c r="AJ124" s="190"/>
      <c r="AK124" s="374"/>
      <c r="AL124" s="348" t="s">
        <v>149</v>
      </c>
      <c r="AM124" s="354"/>
      <c r="AN124" s="354">
        <f>IF(SUM(O120:O128)=SUM(W120:W128), 0, SUM(O120:O128)-SUM(W120:W128))</f>
        <v>0</v>
      </c>
      <c r="AO124" s="354"/>
      <c r="AP124" s="354"/>
      <c r="AQ124" s="350">
        <f>AM124+AN124+AO124+AP124</f>
        <v>0</v>
      </c>
      <c r="AR124" s="769"/>
      <c r="AS124" s="769"/>
      <c r="AT124" s="769"/>
      <c r="AW124"/>
      <c r="AX124"/>
      <c r="AY124" s="280"/>
      <c r="AZ124"/>
      <c r="BA124"/>
      <c r="BB124"/>
      <c r="BC124"/>
      <c r="BD124"/>
      <c r="BE124"/>
      <c r="BF124"/>
      <c r="BG124" s="280"/>
      <c r="BH124"/>
      <c r="BI124"/>
      <c r="BJ124"/>
      <c r="BK124"/>
      <c r="BL124"/>
      <c r="BM124"/>
      <c r="BN124"/>
      <c r="BO124"/>
      <c r="BS124" s="335"/>
      <c r="BT124" s="335"/>
      <c r="BU124" s="335"/>
      <c r="BV124" s="335"/>
      <c r="BW124" s="335"/>
      <c r="BX124" s="335"/>
      <c r="BY124" s="335"/>
      <c r="BZ124" s="335"/>
      <c r="CA124" s="335"/>
      <c r="CB124" s="335"/>
      <c r="CC124" s="335"/>
      <c r="CD124" s="335"/>
      <c r="CE124" s="335"/>
      <c r="CF124" s="335"/>
      <c r="CG124" s="335"/>
      <c r="CH124" s="335"/>
      <c r="CI124" s="335"/>
    </row>
    <row r="125" spans="1:87" ht="22.25" customHeight="1">
      <c r="A125" s="181">
        <f t="shared" si="38"/>
        <v>45292</v>
      </c>
      <c r="B125" s="484">
        <f>YEAR($A126)-1</f>
        <v>2023</v>
      </c>
      <c r="C125" s="489" t="s">
        <v>158</v>
      </c>
      <c r="D125" s="520">
        <f>D123+1</f>
        <v>2</v>
      </c>
      <c r="E125" s="194">
        <f>DATE(YEAR(E124),MONTH(E124),DAY(E124)+1)</f>
        <v>45406</v>
      </c>
      <c r="F125" s="195">
        <f t="shared" si="52"/>
        <v>24</v>
      </c>
      <c r="G125" s="196">
        <f t="shared" si="53"/>
        <v>4</v>
      </c>
      <c r="H125" s="195">
        <f t="shared" si="54"/>
        <v>2024</v>
      </c>
      <c r="I125" s="223">
        <f>IF(J127&lt;13,J127,"")</f>
        <v>10</v>
      </c>
      <c r="J125" s="224">
        <f>G120</f>
        <v>1</v>
      </c>
      <c r="K125" s="506" t="str">
        <f t="shared" si="39"/>
        <v/>
      </c>
      <c r="L125" s="471"/>
      <c r="M125" s="473" t="str">
        <f ca="1">SUM(J120-E126)&amp;" Tage"</f>
        <v>-21 Tage</v>
      </c>
      <c r="N125" s="200"/>
      <c r="O125" s="201"/>
      <c r="P125" s="201"/>
      <c r="Q125" s="202"/>
      <c r="R125" s="189"/>
      <c r="S125" s="203"/>
      <c r="T125" s="203"/>
      <c r="U125" s="204"/>
      <c r="V125" s="192"/>
      <c r="W125" s="203"/>
      <c r="X125" s="203"/>
      <c r="Y125" s="204"/>
      <c r="Z125" s="192"/>
      <c r="AA125" s="203"/>
      <c r="AB125" s="203"/>
      <c r="AC125" s="204"/>
      <c r="AD125" s="192"/>
      <c r="AE125" s="203"/>
      <c r="AF125" s="203"/>
      <c r="AG125" s="204"/>
      <c r="AH125" s="193"/>
      <c r="AI125" s="203"/>
      <c r="AJ125" s="203"/>
      <c r="AK125" s="375"/>
      <c r="AL125" s="348"/>
      <c r="AM125" s="354"/>
      <c r="AN125" s="354"/>
      <c r="AO125" s="354"/>
      <c r="AP125" s="354"/>
      <c r="AQ125" s="350"/>
      <c r="AR125" s="769"/>
      <c r="AS125" s="769"/>
      <c r="AT125" s="769"/>
      <c r="AW125"/>
      <c r="AX125"/>
      <c r="AY125" s="280"/>
      <c r="AZ125"/>
      <c r="BA125"/>
      <c r="BB125"/>
      <c r="BC125"/>
      <c r="BD125"/>
      <c r="BE125"/>
      <c r="BF125"/>
      <c r="BG125" s="280"/>
      <c r="BH125"/>
      <c r="BI125"/>
      <c r="BJ125"/>
      <c r="BK125"/>
      <c r="BL125"/>
      <c r="BM125"/>
      <c r="BN125"/>
      <c r="BO125"/>
      <c r="BS125" s="335"/>
      <c r="BT125" s="335"/>
      <c r="BU125" s="335"/>
      <c r="BV125" s="335"/>
      <c r="BW125" s="335"/>
      <c r="BX125" s="335"/>
      <c r="BY125" s="335"/>
      <c r="BZ125" s="335"/>
      <c r="CA125" s="335"/>
      <c r="CB125" s="335"/>
      <c r="CC125" s="335"/>
      <c r="CD125" s="335"/>
      <c r="CE125" s="335"/>
      <c r="CF125" s="335"/>
      <c r="CG125" s="335"/>
      <c r="CH125" s="335"/>
      <c r="CI125" s="335"/>
    </row>
    <row r="126" spans="1:87" ht="22.25" customHeight="1">
      <c r="A126" s="181">
        <f t="shared" si="38"/>
        <v>45292</v>
      </c>
      <c r="B126" s="485"/>
      <c r="C126" s="490"/>
      <c r="D126" s="521"/>
      <c r="E126" s="194">
        <f>DATE(YEAR(E125),MONTH(E125)+3,DAY(E125)-1)</f>
        <v>45496</v>
      </c>
      <c r="F126" s="195">
        <f t="shared" si="52"/>
        <v>23</v>
      </c>
      <c r="G126" s="196">
        <f t="shared" si="53"/>
        <v>7</v>
      </c>
      <c r="H126" s="195">
        <f t="shared" si="54"/>
        <v>2024</v>
      </c>
      <c r="I126" s="244">
        <f>IF(J128&lt;13,J128,"")</f>
        <v>7</v>
      </c>
      <c r="J126" s="224">
        <f>J125+3</f>
        <v>4</v>
      </c>
      <c r="K126" s="501" t="str">
        <f t="shared" si="39"/>
        <v>+Inflat.-P</v>
      </c>
      <c r="L126" s="511">
        <f>IF(M119="Stufe A",IF(AND(L120="Auswahl treffen",D125&gt;=0,D125&lt;=1000),J119,IF(AND(L120="Vermögend und ambulant",D125&gt;8,D125&lt;=1000),130,IF(AND(L120="Vermögend und ambulant",D125&gt;4,D125&lt;=8),158,IF(AND(L120="Vermögend und ambulant",D125&gt;2,D125&lt;=4),192,IF(AND(L120="Vermögend und ambulant",D125&gt;1,D125&lt;=2),208,IF(AND(L120="Vermögend und ambulant",D125&gt;0,D125&lt;=1),298,IF(AND(L120="Vermögend und stationär",D125&gt;8,D125&lt;=1000),78,IF(AND(L120="Vermögend und stationär",D125&gt;4,D125&lt;=8),91,IF(AND(L120="Vermögend und stationär",D125&gt;2,D125&lt;=4),140,IF(AND(L120="Vermögend und stationär",D125&gt;1,D125&lt;=2),158,IF(AND(L120="Vermögend und stationär",D125&gt;0,D125&lt;=1),200,IF(AND(L120="Mittellos und ambulant",D125&gt;8,D125&lt;=1000),105,IF(AND(L120="Mittellos und ambulant",D125&gt;4,D125&lt;=8),122,IF(AND(L120="Mittellos und ambulant",D125&gt;2,D125&lt;=4),151,IF(AND(L120="Mittellos und ambulant",D125&gt;1,D125&lt;=2),170,IF(AND(L120="Mittellos und ambulant",D125&gt;0,D125&lt;=1),208,IF(AND(L120="Mittellos und stationär",D125&gt;8,D125&lt;=1000),62,IF(AND(L120="Mittellos und stationär",D125&gt;4,D125&lt;=8),87,IF(AND(L120="Mittellos und stationär",D125&gt;2,D125&lt;=4),124,IF(AND(L120="Mittellos und stationär",D125&gt;1,D125&lt;=2),129,IF(AND(L120="Mittellos und stationär",D125&gt;0,D125&lt;=1),194,""))))))))))))))))))))),IF(M119="Stufe B",IF(AND(L120="Auswahl treffen",D125&gt;=0,D125&lt;=1000),J119,IF(AND(L120="Vermögend und ambulant",D125&gt;8,D125&lt;=1000),161,IF(AND(L120="Vermögend und ambulant",D125&gt;4,D125&lt;=8),196,IF(AND(L120="Vermögend und ambulant",D125&gt;2,D125&lt;=4),238,IF(AND(L120="Vermögend und ambulant",D125&gt;1,D125&lt;=2),258,IF(AND(L120="Vermögend und ambulant",D125&gt;0,D125&lt;=1),370,IF(AND(L120="Vermögend und stationär",D125&gt;8,D125&lt;=1000),96,IF(AND(L120="Vermögend und stationär",D125&gt;4,D125&lt;=8),113,IF(AND(L120="Vermögend und stationär",D125&gt;2,D125&lt;=4),174,IF(AND(L120="Vermögend und stationär",D125&gt;1,D125&lt;=2),196,IF(AND(L120="Vermögend und stationär",D125&gt;0,D125&lt;=1),249,IF(AND(L120="Mittellos und ambulant",D125&gt;8,D125&lt;=1000),130,IF(AND(L120="Mittellos und ambulant",D125&gt;4,D125&lt;=8),151,IF(AND(L120="Mittellos und ambulant",D125&gt;2,D125&lt;=4),188,IF(AND(L120="Mittellos und ambulant",D125&gt;1,D125&lt;=2),211,IF(AND(L120="Mittellos und ambulant",D125&gt;0,D125&lt;=1),258,IF(AND(L120="Mittellos und stationär",D125&gt;8,D125&lt;=1000),78,IF(AND(L120="Mittellos und stationär",D125&gt;4,D125&lt;=8),107,IF(AND(L120="Mittellos und stationär",D125&gt;2,D125&lt;=4),154,IF(AND(L120="Mittellos und stationär",D125&gt;1,D125&lt;=2),158,IF(AND(L120="Mittellos und stationär",D125&gt;0,D125&lt;=1),241,""))))))))))))))))))))),IF(M119="Stufe C",IF(AND(L120="Auswahl treffen",D125&gt;=0,D125&lt;=1000),J119,IF(AND(L120="Vermögend und ambulant",D125&gt;8,D125&lt;=1000),211,IF(AND(L120="Vermögend und ambulant",D125&gt;4,D125&lt;=8),257,IF(AND(L120="Vermögend und ambulant",D125&gt;2,D125&lt;=4),312,IF(AND(L120="Vermögend und ambulant",D125&gt;1,D125&lt;=2),339,IF(AND(L120="Vermögend und ambulant",D125&gt;0,D125&lt;=1),486,IF(AND(L120="Vermögend und stationär",D125&gt;8,D125&lt;=1000),127,IF(AND(L120="Vermögend und stationär",D125&gt;4,D125&lt;=8),149,IF(AND(L120="Vermögend und stationär",D125&gt;2,D125&lt;=4),229,IF(AND(L120="Vermögend und stationär",D125&gt;1,D125&lt;=2),257,IF(AND(L120="Vermögend und stationär",D125&gt;0,D125&lt;=1),327,IF(AND(L120="Mittellos und ambulant",D125&gt;8,D125&lt;=1000),171,IF(AND(L120="Mittellos und ambulant",D125&gt;4,D125&lt;=8),198,IF(AND(L120="Mittellos und ambulant",D125&gt;2,D125&lt;=4),246,IF(AND(L120="Mittellos und ambulant",D125&gt;1,D125&lt;=2),277,IF(AND(L120="Mittellos und ambulant",D125&gt;0,D125&lt;=1),339,IF(AND(L120="Mittellos und stationär",D125&gt;8,D125&lt;=1000),102,IF(AND(L120="Mittellos und stationär",D125&gt;4,D125&lt;=8),141,IF(AND(L120="Mittellos und stationär",D125&gt;2,D125&lt;=4),202,IF(AND(L120="Mittellos und stationär",D125&gt;1,D125&lt;=2),208,IF(AND(L120="Mittellos und stationär",D125&gt;0,D125&lt;=1),317,""))))))))))))))))))))),"")))*3+(J119*90)</f>
        <v>831</v>
      </c>
      <c r="M126" s="507" t="str">
        <f>CONCATENATE(K126, K125)</f>
        <v>+Inflat.-P</v>
      </c>
      <c r="N126" s="206"/>
      <c r="O126" s="207"/>
      <c r="P126" s="206" t="s">
        <v>118</v>
      </c>
      <c r="Q126" s="226"/>
      <c r="R126" s="189"/>
      <c r="S126" s="203"/>
      <c r="T126" s="203"/>
      <c r="U126" s="204"/>
      <c r="V126" s="192"/>
      <c r="W126" s="203"/>
      <c r="X126" s="203"/>
      <c r="Y126" s="204"/>
      <c r="Z126" s="192"/>
      <c r="AA126" s="209" t="s">
        <v>118</v>
      </c>
      <c r="AB126" s="209" t="s">
        <v>117</v>
      </c>
      <c r="AC126" s="204" t="s">
        <v>26</v>
      </c>
      <c r="AD126" s="192"/>
      <c r="AE126" s="203"/>
      <c r="AF126" s="203"/>
      <c r="AG126" s="204"/>
      <c r="AH126" s="193"/>
      <c r="AI126" s="203"/>
      <c r="AJ126" s="203"/>
      <c r="AK126" s="375"/>
      <c r="AL126" s="348" t="s">
        <v>150</v>
      </c>
      <c r="AM126" s="354"/>
      <c r="AN126" s="354"/>
      <c r="AO126" s="354">
        <f>IF(SUM(P120:P128)=SUM(AA120:AA128), 0, SUM(P120:P128)-SUM(AA120:AA128))</f>
        <v>0</v>
      </c>
      <c r="AP126" s="354"/>
      <c r="AQ126" s="350">
        <f>AM126+AN126+AO126+AP126</f>
        <v>0</v>
      </c>
      <c r="AR126" s="769"/>
      <c r="AS126" s="769"/>
      <c r="AT126" s="769"/>
      <c r="AW126"/>
      <c r="AX126"/>
      <c r="AY126" s="280"/>
      <c r="AZ126"/>
      <c r="BA126"/>
      <c r="BB126"/>
      <c r="BC126"/>
      <c r="BD126"/>
      <c r="BE126"/>
      <c r="BF126"/>
      <c r="BG126" s="280"/>
      <c r="BH126"/>
      <c r="BI126"/>
      <c r="BJ126"/>
      <c r="BK126"/>
      <c r="BL126"/>
      <c r="BM126"/>
      <c r="BN126"/>
      <c r="BO126"/>
      <c r="BS126" s="335"/>
      <c r="BT126" s="335"/>
      <c r="BU126" s="335"/>
      <c r="BV126" s="335"/>
      <c r="BW126" s="335"/>
      <c r="BX126" s="335"/>
      <c r="BY126" s="335"/>
      <c r="BZ126" s="335"/>
      <c r="CA126" s="335"/>
      <c r="CB126" s="335"/>
      <c r="CC126" s="335"/>
      <c r="CD126" s="335"/>
      <c r="CE126" s="335"/>
      <c r="CF126" s="335"/>
      <c r="CG126" s="335"/>
      <c r="CH126" s="335"/>
      <c r="CI126" s="335"/>
    </row>
    <row r="127" spans="1:87" ht="22.25" customHeight="1">
      <c r="A127" s="181">
        <f t="shared" si="38"/>
        <v>45292</v>
      </c>
      <c r="B127" s="486"/>
      <c r="C127" s="489" t="s">
        <v>158</v>
      </c>
      <c r="D127" s="522">
        <f>D125+1</f>
        <v>3</v>
      </c>
      <c r="E127" s="211">
        <f>DATE(YEAR(E126),MONTH(E126),DAY(E126)+1)</f>
        <v>45497</v>
      </c>
      <c r="F127" s="227">
        <f t="shared" si="52"/>
        <v>24</v>
      </c>
      <c r="G127" s="228">
        <f t="shared" si="53"/>
        <v>7</v>
      </c>
      <c r="H127" s="227">
        <f t="shared" si="54"/>
        <v>2024</v>
      </c>
      <c r="I127" s="231">
        <f>IF(J126&lt;13,J126,"")</f>
        <v>4</v>
      </c>
      <c r="J127" s="230">
        <f>J128+3</f>
        <v>10</v>
      </c>
      <c r="K127" s="506" t="str">
        <f t="shared" si="39"/>
        <v/>
      </c>
      <c r="L127" s="471"/>
      <c r="M127" s="473" t="str">
        <f ca="1">SUM(J120-E128)&amp;" Tage"</f>
        <v>-113 Tage</v>
      </c>
      <c r="N127" s="216"/>
      <c r="O127" s="188"/>
      <c r="P127" s="188"/>
      <c r="Q127" s="217"/>
      <c r="R127" s="189"/>
      <c r="S127" s="190"/>
      <c r="T127" s="190"/>
      <c r="U127" s="191"/>
      <c r="V127" s="192"/>
      <c r="W127" s="190"/>
      <c r="X127" s="190"/>
      <c r="Y127" s="191"/>
      <c r="Z127" s="192"/>
      <c r="AA127" s="190"/>
      <c r="AB127" s="190"/>
      <c r="AC127" s="191"/>
      <c r="AD127" s="192"/>
      <c r="AE127" s="190"/>
      <c r="AF127" s="190"/>
      <c r="AG127" s="191"/>
      <c r="AH127" s="193"/>
      <c r="AI127" s="190"/>
      <c r="AJ127" s="190"/>
      <c r="AK127" s="374"/>
      <c r="AL127" s="348"/>
      <c r="AM127" s="354"/>
      <c r="AN127" s="354"/>
      <c r="AO127" s="354"/>
      <c r="AP127" s="354"/>
      <c r="AQ127" s="350"/>
      <c r="AR127" s="769"/>
      <c r="AS127" s="769"/>
      <c r="AT127" s="769"/>
      <c r="AW127"/>
      <c r="AX127"/>
      <c r="AY127" s="280"/>
      <c r="AZ127"/>
      <c r="BA127"/>
      <c r="BB127"/>
      <c r="BC127"/>
      <c r="BD127"/>
      <c r="BE127"/>
      <c r="BF127"/>
      <c r="BG127" s="280"/>
      <c r="BH127"/>
      <c r="BI127"/>
      <c r="BJ127"/>
      <c r="BK127"/>
      <c r="BL127"/>
      <c r="BM127"/>
      <c r="BN127"/>
      <c r="BO127"/>
      <c r="BS127" s="335"/>
      <c r="BT127" s="335"/>
      <c r="BU127" s="335"/>
      <c r="BV127" s="335"/>
      <c r="BW127" s="335"/>
      <c r="BX127" s="335"/>
      <c r="BY127" s="335"/>
      <c r="BZ127" s="335"/>
      <c r="CA127" s="335"/>
      <c r="CB127" s="335"/>
      <c r="CC127" s="335"/>
      <c r="CD127" s="335"/>
      <c r="CE127" s="335"/>
      <c r="CF127" s="335"/>
      <c r="CG127" s="335"/>
      <c r="CH127" s="335"/>
      <c r="CI127" s="335"/>
    </row>
    <row r="128" spans="1:87" ht="22.25" customHeight="1">
      <c r="A128" s="181">
        <f t="shared" si="38"/>
        <v>45292</v>
      </c>
      <c r="B128" s="485"/>
      <c r="C128" s="490"/>
      <c r="D128" s="521"/>
      <c r="E128" s="218">
        <f>DATE(YEAR(E127),MONTH(E127)+3,DAY(E127)-1)</f>
        <v>45588</v>
      </c>
      <c r="F128" s="227">
        <f t="shared" si="52"/>
        <v>23</v>
      </c>
      <c r="G128" s="228">
        <f t="shared" si="53"/>
        <v>10</v>
      </c>
      <c r="H128" s="227">
        <f t="shared" si="54"/>
        <v>2024</v>
      </c>
      <c r="I128" s="231">
        <f>IF(J125&lt;13,J125,"")</f>
        <v>1</v>
      </c>
      <c r="J128" s="230">
        <f>J126+3</f>
        <v>7</v>
      </c>
      <c r="K128" s="501" t="str">
        <f t="shared" si="39"/>
        <v>+Inflat.-P</v>
      </c>
      <c r="L128" s="508">
        <f>IF(M119="Stufe A",IF(AND(L120="Auswahl treffen",D127&gt;=0,D127&lt;=1000),J119,IF(AND(L120="Vermögend und ambulant",D127&gt;8,D127&lt;=1000),130,IF(AND(L120="Vermögend und ambulant",D127&gt;4,D127&lt;=8),158,IF(AND(L120="Vermögend und ambulant",D127&gt;2,D127&lt;=4),192,IF(AND(L120="Vermögend und ambulant",D127&gt;1,D127&lt;=2),208,IF(AND(L120="Vermögend und ambulant",D127&gt;0,D127&lt;=1),298,IF(AND(L120="Vermögend und stationär",D127&gt;8,D127&lt;=1000),78,IF(AND(L120="Vermögend und stationär",D127&gt;4,D127&lt;=8),91,IF(AND(L120="Vermögend und stationär",D127&gt;2,D127&lt;=4),140,IF(AND(L120="Vermögend und stationär",D127&gt;1,D127&lt;=2),158,IF(AND(L120="Vermögend und stationär",D127&gt;0,D127&lt;=1),200,IF(AND(L120="Mittellos und ambulant",D127&gt;8,D127&lt;=1000),105,IF(AND(L120="Mittellos und ambulant",D127&gt;4,D127&lt;=8),122,IF(AND(L120="Mittellos und ambulant",D127&gt;2,D127&lt;=4),151,IF(AND(L120="Mittellos und ambulant",D127&gt;1,D127&lt;=2),170,IF(AND(L120="Mittellos und ambulant",D127&gt;0,D127&lt;=1),208,IF(AND(L120="Mittellos und stationär",D127&gt;8,D127&lt;=1000),62,IF(AND(L120="Mittellos und stationär",D127&gt;4,D127&lt;=8),87,IF(AND(L120="Mittellos und stationär",D127&gt;2,D127&lt;=4),124,IF(AND(L120="Mittellos und stationär",D127&gt;1,D127&lt;=2),129,IF(AND(L120="Mittellos und stationär",D127&gt;0,D127&lt;=1),194,""))))))))))))))))))))),IF(M119="Stufe B",IF(AND(L120="Auswahl treffen",D127&gt;=0,D127&lt;=1000),J119,IF(AND(L120="Vermögend und ambulant",D127&gt;8,D127&lt;=1000),161,IF(AND(L120="Vermögend und ambulant",D127&gt;4,D127&lt;=8),196,IF(AND(L120="Vermögend und ambulant",D127&gt;2,D127&lt;=4),238,IF(AND(L120="Vermögend und ambulant",D127&gt;1,D127&lt;=2),258,IF(AND(L120="Vermögend und ambulant",D127&gt;0,D127&lt;=1),370,IF(AND(L120="Vermögend und stationär",D127&gt;8,D127&lt;=1000),96,IF(AND(L120="Vermögend und stationär",D127&gt;4,D127&lt;=8),113,IF(AND(L120="Vermögend und stationär",D127&gt;2,D127&lt;=4),174,IF(AND(L120="Vermögend und stationär",D127&gt;1,D127&lt;=2),196,IF(AND(L120="Vermögend und stationär",D127&gt;0,D127&lt;=1),249,IF(AND(L120="Mittellos und ambulant",D127&gt;8,D127&lt;=1000),130,IF(AND(L120="Mittellos und ambulant",D127&gt;4,D127&lt;=8),151,IF(AND(L120="Mittellos und ambulant",D127&gt;2,D127&lt;=4),188,IF(AND(L120="Mittellos und ambulant",D127&gt;1,D127&lt;=2),211,IF(AND(L120="Mittellos und ambulant",D127&gt;0,D127&lt;=1),258,IF(AND(L120="Mittellos und stationär",D127&gt;8,D127&lt;=1000),78,IF(AND(L120="Mittellos und stationär",D127&gt;4,D127&lt;=8),107,IF(AND(L120="Mittellos und stationär",D127&gt;2,D127&lt;=4),154,IF(AND(L120="Mittellos und stationär",D127&gt;1,D127&lt;=2),158,IF(AND(L120="Mittellos und stationär",D127&gt;0,D127&lt;=1),241,""))))))))))))))))))))),IF(M119="Stufe C",IF(AND(L120="Auswahl treffen",D127&gt;=0,D127&lt;=1000),J119,IF(AND(L120="Vermögend und ambulant",D127&gt;8,D127&lt;=1000),211,IF(AND(L120="Vermögend und ambulant",D127&gt;4,D127&lt;=8),257,IF(AND(L120="Vermögend und ambulant",D127&gt;2,D127&lt;=4),312,IF(AND(L120="Vermögend und ambulant",D127&gt;1,D127&lt;=2),339,IF(AND(L120="Vermögend und ambulant",D127&gt;0,D127&lt;=1),486,IF(AND(L120="Vermögend und stationär",D127&gt;8,D127&lt;=1000),127,IF(AND(L120="Vermögend und stationär",D127&gt;4,D127&lt;=8),149,IF(AND(L120="Vermögend und stationär",D127&gt;2,D127&lt;=4),229,IF(AND(L120="Vermögend und stationär",D127&gt;1,D127&lt;=2),257,IF(AND(L120="Vermögend und stationär",D127&gt;0,D127&lt;=1),327,IF(AND(L120="Mittellos und ambulant",D127&gt;8,D127&lt;=1000),171,IF(AND(L120="Mittellos und ambulant",D127&gt;4,D127&lt;=8),198,IF(AND(L120="Mittellos und ambulant",D127&gt;2,D127&lt;=4),246,IF(AND(L120="Mittellos und ambulant",D127&gt;1,D127&lt;=2),277,IF(AND(L120="Mittellos und ambulant",D127&gt;0,D127&lt;=1),339,IF(AND(L120="Mittellos und stationär",D127&gt;8,D127&lt;=1000),102,IF(AND(L120="Mittellos und stationär",D127&gt;4,D127&lt;=8),141,IF(AND(L120="Mittellos und stationär",D127&gt;2,D127&lt;=4),202,IF(AND(L120="Mittellos und stationär",D127&gt;1,D127&lt;=2),208,IF(AND(L120="Mittellos und stationär",D127&gt;0,D127&lt;=1),317,""))))))))))))))))))))),"")))*3+(J119*90)</f>
        <v>738</v>
      </c>
      <c r="M128" s="507" t="str">
        <f>CONCATENATE(K128, K127)</f>
        <v>+Inflat.-P</v>
      </c>
      <c r="N128" s="216"/>
      <c r="O128" s="188"/>
      <c r="P128" s="188"/>
      <c r="Q128" s="217" t="s">
        <v>118</v>
      </c>
      <c r="R128" s="189"/>
      <c r="S128" s="190"/>
      <c r="T128" s="190"/>
      <c r="U128" s="191"/>
      <c r="V128" s="192"/>
      <c r="W128" s="190"/>
      <c r="X128" s="190"/>
      <c r="Y128" s="191"/>
      <c r="Z128" s="192"/>
      <c r="AA128" s="190"/>
      <c r="AB128" s="190"/>
      <c r="AC128" s="191"/>
      <c r="AD128" s="192"/>
      <c r="AE128" s="190" t="s">
        <v>118</v>
      </c>
      <c r="AF128" s="190" t="s">
        <v>117</v>
      </c>
      <c r="AG128" s="191" t="s">
        <v>26</v>
      </c>
      <c r="AH128" s="193"/>
      <c r="AI128" s="190" t="s">
        <v>118</v>
      </c>
      <c r="AJ128" s="190" t="s">
        <v>117</v>
      </c>
      <c r="AK128" s="374" t="s">
        <v>26</v>
      </c>
      <c r="AL128" s="348" t="s">
        <v>151</v>
      </c>
      <c r="AM128" s="354"/>
      <c r="AN128" s="354"/>
      <c r="AO128" s="354"/>
      <c r="AP128" s="354">
        <f>IF(SUM(Q120:Q128)=SUM(AE120:AE128,AI120:AI128), 0, SUM(Q120:Q128)-SUM(AE120:AE128,AI120:AI128))</f>
        <v>0</v>
      </c>
      <c r="AQ128" s="350">
        <f>AM128+AN128+AO128+AP128</f>
        <v>0</v>
      </c>
      <c r="AR128" s="769"/>
      <c r="AS128" s="769"/>
      <c r="AT128" s="769"/>
      <c r="AW128"/>
      <c r="AX128"/>
      <c r="AY128" s="280"/>
      <c r="AZ128"/>
      <c r="BA128"/>
      <c r="BB128"/>
      <c r="BC128"/>
      <c r="BD128"/>
      <c r="BE128"/>
      <c r="BF128"/>
      <c r="BG128" s="280"/>
      <c r="BH128"/>
      <c r="BI128"/>
      <c r="BJ128"/>
      <c r="BK128"/>
      <c r="BL128"/>
      <c r="BM128"/>
      <c r="BN128"/>
      <c r="BO128"/>
      <c r="BS128" s="335"/>
      <c r="BT128" s="335"/>
      <c r="BU128" s="335"/>
      <c r="BV128" s="335"/>
      <c r="BW128" s="335"/>
      <c r="BX128" s="335"/>
      <c r="BY128" s="335"/>
      <c r="BZ128" s="335"/>
      <c r="CA128" s="335"/>
      <c r="CB128" s="335"/>
      <c r="CC128" s="335"/>
      <c r="CD128" s="335"/>
      <c r="CE128" s="335"/>
      <c r="CF128" s="335"/>
      <c r="CG128" s="335"/>
      <c r="CH128" s="335"/>
      <c r="CI128" s="335"/>
    </row>
    <row r="129" spans="1:87" ht="22" customHeight="1">
      <c r="A129" s="181">
        <f t="shared" si="38"/>
        <v>45292</v>
      </c>
      <c r="B129" s="232" t="s">
        <v>74</v>
      </c>
      <c r="C129" s="233" t="s">
        <v>75</v>
      </c>
      <c r="D129" s="234" t="s">
        <v>76</v>
      </c>
      <c r="E129" s="235" t="s">
        <v>11</v>
      </c>
      <c r="F129" s="235" t="s">
        <v>4</v>
      </c>
      <c r="G129" s="235" t="s">
        <v>5</v>
      </c>
      <c r="H129" s="235" t="s">
        <v>6</v>
      </c>
      <c r="I129" s="236" t="s">
        <v>77</v>
      </c>
      <c r="J129" s="306"/>
      <c r="K129" s="506" t="str">
        <f t="shared" si="39"/>
        <v/>
      </c>
      <c r="L129" s="306" t="str">
        <f>IFERROR(VLOOKUP(B130,'Aktuelle Einnahmen'!A2:J104,10,0),"")</f>
        <v/>
      </c>
      <c r="M129" s="510" t="str">
        <f>M119</f>
        <v>Stufe C</v>
      </c>
      <c r="N129" s="237"/>
      <c r="O129" s="238"/>
      <c r="P129" s="238"/>
      <c r="Q129" s="239"/>
      <c r="R129" s="240"/>
      <c r="S129" s="241"/>
      <c r="T129" s="241"/>
      <c r="U129" s="242"/>
      <c r="V129" s="243"/>
      <c r="W129" s="241"/>
      <c r="X129" s="241"/>
      <c r="Y129" s="242"/>
      <c r="Z129" s="243"/>
      <c r="AA129" s="241"/>
      <c r="AB129" s="241"/>
      <c r="AC129" s="242"/>
      <c r="AD129" s="243"/>
      <c r="AE129" s="241"/>
      <c r="AF129" s="241"/>
      <c r="AG129" s="242"/>
      <c r="AH129" s="240"/>
      <c r="AI129" s="241"/>
      <c r="AJ129" s="241"/>
      <c r="AK129" s="377"/>
      <c r="AL129" s="347"/>
      <c r="AM129" s="353"/>
      <c r="AN129" s="353"/>
      <c r="AO129" s="353"/>
      <c r="AP129" s="353"/>
      <c r="AQ129" s="349"/>
      <c r="AR129" s="768"/>
      <c r="AS129" s="768"/>
      <c r="AT129" s="768"/>
      <c r="AW129"/>
      <c r="AX129"/>
      <c r="AY129" s="280"/>
      <c r="AZ129"/>
      <c r="BA129"/>
      <c r="BB129"/>
      <c r="BC129"/>
      <c r="BD129"/>
      <c r="BE129"/>
      <c r="BF129"/>
      <c r="BG129" s="280"/>
      <c r="BH129"/>
      <c r="BI129"/>
      <c r="BJ129"/>
      <c r="BK129"/>
      <c r="BL129"/>
      <c r="BM129"/>
      <c r="BN129"/>
      <c r="BO129"/>
      <c r="BS129" s="335"/>
      <c r="BT129" s="335"/>
      <c r="BU129" s="335"/>
      <c r="BV129" s="335"/>
      <c r="BW129" s="335"/>
      <c r="BX129" s="335"/>
      <c r="BY129" s="335"/>
      <c r="BZ129" s="335"/>
      <c r="CA129" s="335"/>
      <c r="CB129" s="335"/>
      <c r="CC129" s="335"/>
      <c r="CD129" s="335"/>
      <c r="CE129" s="335"/>
      <c r="CF129" s="335"/>
      <c r="CG129" s="335"/>
      <c r="CH129" s="335"/>
      <c r="CI129" s="335"/>
    </row>
    <row r="130" spans="1:87" ht="23" customHeight="1">
      <c r="A130" s="181">
        <f t="shared" si="38"/>
        <v>45292</v>
      </c>
      <c r="B130" s="182">
        <v>13</v>
      </c>
      <c r="C130" s="245">
        <f>IFERROR(VLOOKUP($B130,'Aktuelle Einnahmen'!A2:G104,3,0),"")</f>
        <v>0</v>
      </c>
      <c r="D130" s="246" t="str">
        <f>IFERROR(VLOOKUP($B130,'Aktuelle Einnahmen'!A2:G104,2,0),"")</f>
        <v xml:space="preserve"> </v>
      </c>
      <c r="E130" s="247">
        <f>IFERROR(VLOOKUP($B130,'Aktuelle Einnahmen'!A2:G104,4,0),"")</f>
        <v>0</v>
      </c>
      <c r="F130" s="94">
        <f>IFERROR(VLOOKUP($B130,'Aktuelle Einnahmen'!A2:G104,5,0),"")</f>
        <v>0</v>
      </c>
      <c r="G130" s="94">
        <f>IFERROR(VLOOKUP($B130,'Aktuelle Einnahmen'!A2:G104,6,0),"")</f>
        <v>0</v>
      </c>
      <c r="H130" s="94">
        <f>IFERROR(VLOOKUP($B130,'Aktuelle Einnahmen'!A2:G104,7,0),"")</f>
        <v>0</v>
      </c>
      <c r="I130" s="186" t="e">
        <f>DATE(H130,G130,F130)</f>
        <v>#NUM!</v>
      </c>
      <c r="J130" s="472">
        <f ca="1">J120</f>
        <v>45475</v>
      </c>
      <c r="K130" s="501" t="str">
        <f t="shared" si="39"/>
        <v>+Inflat.-P</v>
      </c>
      <c r="L130" s="1262" t="str">
        <f>IFERROR(VLOOKUP(B130,'Aktuelle Einnahmen'!A2:I104,9,0),"")</f>
        <v>Auswahl treffen</v>
      </c>
      <c r="M130" s="1263"/>
      <c r="N130" s="261"/>
      <c r="O130" s="261"/>
      <c r="P130" s="261"/>
      <c r="Q130" s="261"/>
      <c r="R130" s="189"/>
      <c r="S130" s="190"/>
      <c r="T130" s="190"/>
      <c r="U130" s="191"/>
      <c r="V130" s="192"/>
      <c r="W130" s="190"/>
      <c r="X130" s="190"/>
      <c r="Y130" s="191"/>
      <c r="Z130" s="192"/>
      <c r="AA130" s="190"/>
      <c r="AB130" s="190"/>
      <c r="AC130" s="191"/>
      <c r="AD130" s="192"/>
      <c r="AE130" s="190"/>
      <c r="AF130" s="190"/>
      <c r="AG130" s="191"/>
      <c r="AH130" s="193"/>
      <c r="AI130" s="190"/>
      <c r="AJ130" s="190"/>
      <c r="AK130" s="374"/>
      <c r="AL130" s="348"/>
      <c r="AM130" s="354"/>
      <c r="AN130" s="354"/>
      <c r="AO130" s="354"/>
      <c r="AP130" s="354"/>
      <c r="AQ130" s="350"/>
      <c r="AR130" s="769"/>
      <c r="AS130" s="769"/>
      <c r="AT130" s="769"/>
      <c r="AW130"/>
      <c r="AX130"/>
      <c r="AY130" s="280"/>
      <c r="AZ130"/>
      <c r="BA130"/>
      <c r="BB130"/>
      <c r="BC130"/>
      <c r="BD130"/>
      <c r="BE130"/>
      <c r="BF130"/>
      <c r="BG130" s="280"/>
      <c r="BH130"/>
      <c r="BI130"/>
      <c r="BJ130"/>
      <c r="BK130"/>
      <c r="BL130"/>
      <c r="BM130"/>
      <c r="BN130"/>
      <c r="BO130"/>
      <c r="BS130" s="335"/>
      <c r="BT130" s="335"/>
      <c r="BU130" s="335"/>
      <c r="BV130" s="335"/>
      <c r="BW130" s="335"/>
      <c r="BX130" s="335"/>
      <c r="BY130" s="335"/>
      <c r="BZ130" s="335"/>
      <c r="CA130" s="335"/>
      <c r="CB130" s="335"/>
      <c r="CC130" s="335"/>
      <c r="CD130" s="335"/>
      <c r="CE130" s="335"/>
      <c r="CF130" s="335"/>
      <c r="CG130" s="335"/>
      <c r="CH130" s="335"/>
      <c r="CI130" s="335"/>
    </row>
    <row r="131" spans="1:87" ht="22.25" customHeight="1">
      <c r="A131" s="181">
        <f t="shared" si="38"/>
        <v>45292</v>
      </c>
      <c r="B131" s="484" t="e">
        <f>DAY(I130)</f>
        <v>#NUM!</v>
      </c>
      <c r="C131" s="489" t="s">
        <v>158</v>
      </c>
      <c r="D131" s="520" t="e">
        <f>(I131*4)+J131/3+1</f>
        <v>#NUM!</v>
      </c>
      <c r="E131" s="194" t="e">
        <f>J133+1</f>
        <v>#NUM!</v>
      </c>
      <c r="F131" s="195" t="e">
        <f t="shared" ref="F131:F138" si="55">DAY(E131)</f>
        <v>#NUM!</v>
      </c>
      <c r="G131" s="196" t="e">
        <f t="shared" ref="G131:G138" si="56">MONTH(E131)</f>
        <v>#NUM!</v>
      </c>
      <c r="H131" s="195" t="e">
        <f t="shared" ref="H131:H138" si="57">YEAR(E131)</f>
        <v>#NUM!</v>
      </c>
      <c r="I131" s="197" t="e">
        <f>H131-(H130+2000)</f>
        <v>#NUM!</v>
      </c>
      <c r="J131" s="198" t="e">
        <f>G131-G130</f>
        <v>#NUM!</v>
      </c>
      <c r="K131" s="506" t="str">
        <f>L129</f>
        <v/>
      </c>
      <c r="L131" s="469"/>
      <c r="M131" s="473" t="e">
        <f ca="1">SUM(J130-E132)&amp;" Tage"</f>
        <v>#NUM!</v>
      </c>
      <c r="N131" s="206"/>
      <c r="O131" s="201"/>
      <c r="P131" s="201"/>
      <c r="Q131" s="202"/>
      <c r="R131" s="189"/>
      <c r="S131" s="203"/>
      <c r="T131" s="203"/>
      <c r="U131" s="204"/>
      <c r="V131" s="192"/>
      <c r="W131" s="203"/>
      <c r="X131" s="203"/>
      <c r="Y131" s="204"/>
      <c r="Z131" s="192"/>
      <c r="AA131" s="203"/>
      <c r="AB131" s="203"/>
      <c r="AC131" s="204"/>
      <c r="AD131" s="192"/>
      <c r="AE131" s="203"/>
      <c r="AF131" s="203"/>
      <c r="AG131" s="204"/>
      <c r="AH131" s="193"/>
      <c r="AI131" s="203"/>
      <c r="AJ131" s="203"/>
      <c r="AK131" s="375"/>
      <c r="AL131" s="348"/>
      <c r="AM131" s="354"/>
      <c r="AN131" s="354"/>
      <c r="AO131" s="354"/>
      <c r="AP131" s="354"/>
      <c r="AQ131" s="350"/>
      <c r="AR131" s="769"/>
      <c r="AS131" s="769"/>
      <c r="AT131" s="769"/>
      <c r="AW131"/>
      <c r="AX131"/>
      <c r="AY131" s="280"/>
      <c r="AZ131"/>
      <c r="BA131"/>
      <c r="BB131"/>
      <c r="BC131"/>
      <c r="BD131"/>
      <c r="BE131"/>
      <c r="BF131"/>
      <c r="BG131" s="280"/>
      <c r="BH131"/>
      <c r="BI131"/>
      <c r="BJ131"/>
      <c r="BK131"/>
      <c r="BL131"/>
      <c r="BM131"/>
      <c r="BN131"/>
      <c r="BO131"/>
      <c r="BS131" s="335"/>
      <c r="BT131" s="335"/>
      <c r="BU131" s="335"/>
      <c r="BV131" s="335"/>
      <c r="BW131" s="335"/>
      <c r="BX131" s="335"/>
      <c r="BY131" s="335"/>
      <c r="BZ131" s="335"/>
      <c r="CA131" s="335"/>
      <c r="CB131" s="335"/>
      <c r="CC131" s="335"/>
      <c r="CD131" s="335"/>
      <c r="CE131" s="335"/>
      <c r="CF131" s="335"/>
      <c r="CG131" s="335"/>
      <c r="CH131" s="335"/>
      <c r="CI131" s="335"/>
    </row>
    <row r="132" spans="1:87" ht="22.25" customHeight="1">
      <c r="A132" s="181">
        <f t="shared" si="38"/>
        <v>45292</v>
      </c>
      <c r="B132" s="485"/>
      <c r="C132" s="490"/>
      <c r="D132" s="521"/>
      <c r="E132" s="194" t="e">
        <f>DATE(YEAR(E131),MONTH(E131)+3,DAY(E131)-1)</f>
        <v>#NUM!</v>
      </c>
      <c r="F132" s="195" t="e">
        <f t="shared" si="55"/>
        <v>#NUM!</v>
      </c>
      <c r="G132" s="196" t="e">
        <f t="shared" si="56"/>
        <v>#NUM!</v>
      </c>
      <c r="H132" s="195" t="e">
        <f t="shared" si="57"/>
        <v>#NUM!</v>
      </c>
      <c r="I132" s="244">
        <v>-1</v>
      </c>
      <c r="J132" s="198" t="e">
        <f>F131-F130</f>
        <v>#NUM!</v>
      </c>
      <c r="K132" s="506" t="str">
        <f t="shared" si="39"/>
        <v>+Inflat.-P</v>
      </c>
      <c r="L132" s="511" t="e">
        <f>IF(M129="Stufe A",IF(AND(L130="Auswahl treffen",D131&gt;=0,D131&lt;=1000),J129,IF(AND(L130="Vermögend und ambulant",D131&gt;8,D131&lt;=1000),130,IF(AND(L130="Vermögend und ambulant",D131&gt;4,D131&lt;=8),158,IF(AND(L130="Vermögend und ambulant",D131&gt;2,D131&lt;=4),192,IF(AND(L130="Vermögend und ambulant",D131&gt;1,D131&lt;=2),208,IF(AND(L130="Vermögend und ambulant",D131&gt;0,D131&lt;=1),298,IF(AND(L130="Vermögend und stationär",D131&gt;8,D131&lt;=1000),78,IF(AND(L130="Vermögend und stationär",D131&gt;4,D131&lt;=8),91,IF(AND(L130="Vermögend und stationär",D131&gt;2,D131&lt;=4),140,IF(AND(L130="Vermögend und stationär",D131&gt;1,D131&lt;=2),158,IF(AND(L130="Vermögend und stationär",D131&gt;0,D131&lt;=1),200,IF(AND(L130="Mittellos und ambulant",D131&gt;8,D131&lt;=1000),105,IF(AND(L130="Mittellos und ambulant",D131&gt;4,D131&lt;=8),122,IF(AND(L130="Mittellos und ambulant",D131&gt;2,D131&lt;=4),151,IF(AND(L130="Mittellos und ambulant",D131&gt;1,D131&lt;=2),170,IF(AND(L130="Mittellos und ambulant",D131&gt;0,D131&lt;=1),208,IF(AND(L130="Mittellos und stationär",D131&gt;8,D131&lt;=1000),62,IF(AND(L130="Mittellos und stationär",D131&gt;4,D131&lt;=8),87,IF(AND(L130="Mittellos und stationär",D131&gt;2,D131&lt;=4),124,IF(AND(L130="Mittellos und stationär",D131&gt;1,D131&lt;=2),129,IF(AND(L130="Mittellos und stationär",D131&gt;0,D131&lt;=1),194,""))))))))))))))))))))),IF(M129="Stufe B",IF(AND(L130="Auswahl treffen",D131&gt;=0,D131&lt;=1000),J129,IF(AND(L130="Vermögend und ambulant",D131&gt;8,D131&lt;=1000),161,IF(AND(L130="Vermögend und ambulant",D131&gt;4,D131&lt;=8),196,IF(AND(L130="Vermögend und ambulant",D131&gt;2,D131&lt;=4),238,IF(AND(L130="Vermögend und ambulant",D131&gt;1,D131&lt;=2),258,IF(AND(L130="Vermögend und ambulant",D131&gt;0,D131&lt;=1),370,IF(AND(L130="Vermögend und stationär",D131&gt;8,D131&lt;=1000),96,IF(AND(L130="Vermögend und stationär",D131&gt;4,D131&lt;=8),113,IF(AND(L130="Vermögend und stationär",D131&gt;2,D131&lt;=4),174,IF(AND(L130="Vermögend und stationär",D131&gt;1,D131&lt;=2),196,IF(AND(L130="Vermögend und stationär",D131&gt;0,D131&lt;=1),249,IF(AND(L130="Mittellos und ambulant",D131&gt;8,D131&lt;=1000),130,IF(AND(L130="Mittellos und ambulant",D131&gt;4,D131&lt;=8),151,IF(AND(L130="Mittellos und ambulant",D131&gt;2,D131&lt;=4),188,IF(AND(L130="Mittellos und ambulant",D131&gt;1,D131&lt;=2),211,IF(AND(L130="Mittellos und ambulant",D131&gt;0,D131&lt;=1),258,IF(AND(L130="Mittellos und stationär",D131&gt;8,D131&lt;=1000),78,IF(AND(L130="Mittellos und stationär",D131&gt;4,D131&lt;=8),107,IF(AND(L130="Mittellos und stationär",D131&gt;2,D131&lt;=4),154,IF(AND(L130="Mittellos und stationär",D131&gt;1,D131&lt;=2),158,IF(AND(L130="Mittellos und stationär",D131&gt;0,D131&lt;=1),241,""))))))))))))))))))))),IF(M129="Stufe C",IF(AND(L130="Auswahl treffen",D131&gt;=0,D131&lt;=1000),J129,IF(AND(L130="Vermögend und ambulant",D131&gt;8,D131&lt;=1000),211,IF(AND(L130="Vermögend und ambulant",D131&gt;4,D131&lt;=8),257,IF(AND(L130="Vermögend und ambulant",D131&gt;2,D131&lt;=4),312,IF(AND(L130="Vermögend und ambulant",D131&gt;1,D131&lt;=2),339,IF(AND(L130="Vermögend und ambulant",D131&gt;0,D131&lt;=1),486,IF(AND(L130="Vermögend und stationär",D131&gt;8,D131&lt;=1000),127,IF(AND(L130="Vermögend und stationär",D131&gt;4,D131&lt;=8),149,IF(AND(L130="Vermögend und stationär",D131&gt;2,D131&lt;=4),229,IF(AND(L130="Vermögend und stationär",D131&gt;1,D131&lt;=2),257,IF(AND(L130="Vermögend und stationär",D131&gt;0,D131&lt;=1),327,IF(AND(L130="Mittellos und ambulant",D131&gt;8,D131&lt;=1000),171,IF(AND(L130="Mittellos und ambulant",D131&gt;4,D131&lt;=8),198,IF(AND(L130="Mittellos und ambulant",D131&gt;2,D131&lt;=4),246,IF(AND(L130="Mittellos und ambulant",D131&gt;1,D131&lt;=2),277,IF(AND(L130="Mittellos und ambulant",D131&gt;0,D131&lt;=1),339,IF(AND(L130="Mittellos und stationär",D131&gt;8,D131&lt;=1000),102,IF(AND(L130="Mittellos und stationär",D131&gt;4,D131&lt;=8),141,IF(AND(L130="Mittellos und stationär",D131&gt;2,D131&lt;=4),202,IF(AND(L130="Mittellos und stationär",D131&gt;1,D131&lt;=2),208,IF(AND(L130="Mittellos und stationär",D131&gt;0,D131&lt;=1),317,""))))))))))))))))))))),"")))*3+(J129*90)</f>
        <v>#NUM!</v>
      </c>
      <c r="M132" s="507" t="str">
        <f>CONCATENATE(K132, K131)</f>
        <v>+Inflat.-P</v>
      </c>
      <c r="N132" s="206" t="s">
        <v>118</v>
      </c>
      <c r="O132" s="207"/>
      <c r="P132" s="207"/>
      <c r="Q132" s="208"/>
      <c r="R132" s="187"/>
      <c r="S132" s="209" t="s">
        <v>118</v>
      </c>
      <c r="T132" s="201" t="s">
        <v>117</v>
      </c>
      <c r="U132" s="210" t="s">
        <v>26</v>
      </c>
      <c r="V132" s="192"/>
      <c r="W132" s="203"/>
      <c r="X132" s="203"/>
      <c r="Y132" s="210"/>
      <c r="Z132" s="192"/>
      <c r="AA132" s="203"/>
      <c r="AB132" s="203"/>
      <c r="AC132" s="210"/>
      <c r="AD132" s="192"/>
      <c r="AE132" s="203"/>
      <c r="AF132" s="203"/>
      <c r="AG132" s="210"/>
      <c r="AH132" s="193"/>
      <c r="AI132" s="203"/>
      <c r="AJ132" s="203"/>
      <c r="AK132" s="376"/>
      <c r="AL132" s="348" t="s">
        <v>148</v>
      </c>
      <c r="AM132" s="354">
        <f>IF(SUM(N130:N138)=SUM(S130:S138), 0, SUM(N130:N138)-SUM(S130:S138))</f>
        <v>0</v>
      </c>
      <c r="AN132" s="354"/>
      <c r="AO132" s="354"/>
      <c r="AP132" s="354"/>
      <c r="AQ132" s="350">
        <f>AM132+AN132+AO132+AP132</f>
        <v>0</v>
      </c>
      <c r="AR132" s="769"/>
      <c r="AS132" s="769"/>
      <c r="AT132" s="769"/>
      <c r="AW132"/>
      <c r="AX132"/>
      <c r="AY132" s="280"/>
      <c r="AZ132"/>
      <c r="BA132"/>
      <c r="BB132"/>
      <c r="BC132"/>
      <c r="BD132"/>
      <c r="BE132"/>
      <c r="BF132"/>
      <c r="BG132" s="280"/>
      <c r="BH132"/>
      <c r="BI132"/>
      <c r="BJ132"/>
      <c r="BK132"/>
      <c r="BL132"/>
      <c r="BM132"/>
      <c r="BN132"/>
      <c r="BO132"/>
      <c r="BS132" s="335"/>
      <c r="BT132" s="335"/>
      <c r="BU132" s="335"/>
      <c r="BV132" s="335"/>
      <c r="BW132" s="335"/>
      <c r="BX132" s="335"/>
      <c r="BY132" s="335"/>
      <c r="BZ132" s="335"/>
      <c r="CA132" s="335"/>
      <c r="CB132" s="335"/>
      <c r="CC132" s="335"/>
      <c r="CD132" s="335"/>
      <c r="CE132" s="335"/>
      <c r="CF132" s="335"/>
      <c r="CG132" s="335"/>
      <c r="CH132" s="335"/>
      <c r="CI132" s="335"/>
    </row>
    <row r="133" spans="1:87" ht="22.25" customHeight="1">
      <c r="A133" s="181">
        <f t="shared" si="38"/>
        <v>45292</v>
      </c>
      <c r="B133" s="484" t="e">
        <f>MONTH(I130)</f>
        <v>#NUM!</v>
      </c>
      <c r="C133" s="489" t="s">
        <v>158</v>
      </c>
      <c r="D133" s="522" t="e">
        <f>D131+1</f>
        <v>#NUM!</v>
      </c>
      <c r="E133" s="211" t="e">
        <f>DATE(YEAR(E132),MONTH(E132),DAY(E132)+1)</f>
        <v>#NUM!</v>
      </c>
      <c r="F133" s="212" t="e">
        <f t="shared" si="55"/>
        <v>#NUM!</v>
      </c>
      <c r="G133" s="213" t="e">
        <f t="shared" si="56"/>
        <v>#NUM!</v>
      </c>
      <c r="H133" s="212" t="e">
        <f t="shared" si="57"/>
        <v>#NUM!</v>
      </c>
      <c r="I133" s="214" t="str">
        <f>IF(D130&lt;&gt;0,"-1T","")</f>
        <v>-1T</v>
      </c>
      <c r="J133" s="215" t="e">
        <f>DATE($B135,I134,$B131)</f>
        <v>#NUM!</v>
      </c>
      <c r="K133" s="501" t="str">
        <f t="shared" si="39"/>
        <v/>
      </c>
      <c r="L133" s="470"/>
      <c r="M133" s="473" t="e">
        <f ca="1">SUM(J130-E134)&amp;" Tage"</f>
        <v>#NUM!</v>
      </c>
      <c r="N133" s="216"/>
      <c r="O133" s="217"/>
      <c r="P133" s="188"/>
      <c r="Q133" s="217"/>
      <c r="R133" s="189"/>
      <c r="S133" s="190"/>
      <c r="T133" s="190"/>
      <c r="U133" s="191"/>
      <c r="V133" s="192"/>
      <c r="W133" s="190"/>
      <c r="X133" s="190"/>
      <c r="Y133" s="191"/>
      <c r="Z133" s="192"/>
      <c r="AA133" s="190"/>
      <c r="AB133" s="190"/>
      <c r="AC133" s="191"/>
      <c r="AD133" s="192"/>
      <c r="AE133" s="190"/>
      <c r="AF133" s="190"/>
      <c r="AG133" s="191"/>
      <c r="AH133" s="193"/>
      <c r="AI133" s="190"/>
      <c r="AJ133" s="190"/>
      <c r="AK133" s="374"/>
      <c r="AL133" s="348"/>
      <c r="AM133" s="354"/>
      <c r="AN133" s="354"/>
      <c r="AO133" s="354"/>
      <c r="AP133" s="354"/>
      <c r="AQ133" s="350"/>
      <c r="AR133" s="769"/>
      <c r="AS133" s="769"/>
      <c r="AT133" s="769"/>
      <c r="AW133"/>
      <c r="AX133"/>
      <c r="AY133" s="280"/>
      <c r="AZ133"/>
      <c r="BA133"/>
      <c r="BB133"/>
      <c r="BC133"/>
      <c r="BD133"/>
      <c r="BE133"/>
      <c r="BF133"/>
      <c r="BG133" s="280"/>
      <c r="BH133"/>
      <c r="BI133"/>
      <c r="BJ133"/>
      <c r="BK133"/>
      <c r="BL133"/>
      <c r="BM133"/>
      <c r="BN133"/>
      <c r="BO133"/>
      <c r="BS133" s="335"/>
      <c r="BT133" s="335"/>
      <c r="BU133" s="335"/>
      <c r="BV133" s="335"/>
      <c r="BW133" s="335"/>
      <c r="BX133" s="335"/>
      <c r="BY133" s="335"/>
      <c r="BZ133" s="335"/>
      <c r="CA133" s="335"/>
      <c r="CB133" s="335"/>
      <c r="CC133" s="335"/>
      <c r="CD133" s="335"/>
      <c r="CE133" s="335"/>
      <c r="CF133" s="335"/>
      <c r="CG133" s="335"/>
      <c r="CH133" s="335"/>
      <c r="CI133" s="335"/>
    </row>
    <row r="134" spans="1:87" ht="22.25" customHeight="1">
      <c r="A134" s="181">
        <f t="shared" si="38"/>
        <v>45292</v>
      </c>
      <c r="B134" s="485"/>
      <c r="C134" s="490"/>
      <c r="D134" s="521"/>
      <c r="E134" s="218" t="e">
        <f>DATE(YEAR(E133),MONTH(E133)+3,DAY(E133)-1)</f>
        <v>#NUM!</v>
      </c>
      <c r="F134" s="212" t="e">
        <f t="shared" si="55"/>
        <v>#NUM!</v>
      </c>
      <c r="G134" s="213" t="e">
        <f t="shared" si="56"/>
        <v>#NUM!</v>
      </c>
      <c r="H134" s="212" t="e">
        <f t="shared" si="57"/>
        <v>#NUM!</v>
      </c>
      <c r="I134" s="219">
        <f>MAX(I135:I138)</f>
        <v>9</v>
      </c>
      <c r="J134" s="220" t="e">
        <f>DATE(YEAR(J133)+1,MONTH(J133),DAY(J133))</f>
        <v>#NUM!</v>
      </c>
      <c r="K134" s="506" t="str">
        <f t="shared" si="39"/>
        <v>+Inflat.-P</v>
      </c>
      <c r="L134" s="508" t="e">
        <f>IF(M129="Stufe A",IF(AND(L130="Auswahl treffen",D133&gt;=0,D133&lt;=1000),J129,IF(AND(L130="Vermögend und ambulant",D133&gt;8,D133&lt;=1000),130,IF(AND(L130="Vermögend und ambulant",D133&gt;4,D133&lt;=8),158,IF(AND(L130="Vermögend und ambulant",D133&gt;2,D133&lt;=4),192,IF(AND(L130="Vermögend und ambulant",D133&gt;1,D133&lt;=2),208,IF(AND(L130="Vermögend und ambulant",D133&gt;0,D133&lt;=1),298,IF(AND(L130="Vermögend und stationär",D133&gt;8,D133&lt;=1000),78,IF(AND(L130="Vermögend und stationär",D133&gt;4,D133&lt;=8),91,IF(AND(L130="Vermögend und stationär",D133&gt;2,D133&lt;=4),140,IF(AND(L130="Vermögend und stationär",D133&gt;1,D133&lt;=2),158,IF(AND(L130="Vermögend und stationär",D133&gt;0,D133&lt;=1),200,IF(AND(L130="Mittellos und ambulant",D133&gt;8,D133&lt;=1000),105,IF(AND(L130="Mittellos und ambulant",D133&gt;4,D133&lt;=8),122,IF(AND(L130="Mittellos und ambulant",D133&gt;2,D133&lt;=4),151,IF(AND(L130="Mittellos und ambulant",D133&gt;1,D133&lt;=2),170,IF(AND(L130="Mittellos und ambulant",D133&gt;0,D133&lt;=1),208,IF(AND(L130="Mittellos und stationär",D133&gt;8,D133&lt;=1000),62,IF(AND(L130="Mittellos und stationär",D133&gt;4,D133&lt;=8),87,IF(AND(L130="Mittellos und stationär",D133&gt;2,D133&lt;=4),124,IF(AND(L130="Mittellos und stationär",D133&gt;1,D133&lt;=2),129,IF(AND(L130="Mittellos und stationär",D133&gt;0,D133&lt;=1),194,""))))))))))))))))))))),IF(M129="Stufe B",IF(AND(L130="Auswahl treffen",D133&gt;=0,D133&lt;=1000),J129,IF(AND(L130="Vermögend und ambulant",D133&gt;8,D133&lt;=1000),161,IF(AND(L130="Vermögend und ambulant",D133&gt;4,D133&lt;=8),196,IF(AND(L130="Vermögend und ambulant",D133&gt;2,D133&lt;=4),238,IF(AND(L130="Vermögend und ambulant",D133&gt;1,D133&lt;=2),258,IF(AND(L130="Vermögend und ambulant",D133&gt;0,D133&lt;=1),370,IF(AND(L130="Vermögend und stationär",D133&gt;8,D133&lt;=1000),96,IF(AND(L130="Vermögend und stationär",D133&gt;4,D133&lt;=8),113,IF(AND(L130="Vermögend und stationär",D133&gt;2,D133&lt;=4),174,IF(AND(L130="Vermögend und stationär",D133&gt;1,D133&lt;=2),196,IF(AND(L130="Vermögend und stationär",D133&gt;0,D133&lt;=1),249,IF(AND(L130="Mittellos und ambulant",D133&gt;8,D133&lt;=1000),130,IF(AND(L130="Mittellos und ambulant",D133&gt;4,D133&lt;=8),151,IF(AND(L130="Mittellos und ambulant",D133&gt;2,D133&lt;=4),188,IF(AND(L130="Mittellos und ambulant",D133&gt;1,D133&lt;=2),211,IF(AND(L130="Mittellos und ambulant",D133&gt;0,D133&lt;=1),258,IF(AND(L130="Mittellos und stationär",D133&gt;8,D133&lt;=1000),78,IF(AND(L130="Mittellos und stationär",D133&gt;4,D133&lt;=8),107,IF(AND(L130="Mittellos und stationär",D133&gt;2,D133&lt;=4),154,IF(AND(L130="Mittellos und stationär",D133&gt;1,D133&lt;=2),158,IF(AND(L130="Mittellos und stationär",D133&gt;0,D133&lt;=1),241,""))))))))))))))))))))),IF(M129="Stufe C",IF(AND(L130="Auswahl treffen",D133&gt;=0,D133&lt;=1000),J129,IF(AND(L130="Vermögend und ambulant",D133&gt;8,D133&lt;=1000),211,IF(AND(L130="Vermögend und ambulant",D133&gt;4,D133&lt;=8),257,IF(AND(L130="Vermögend und ambulant",D133&gt;2,D133&lt;=4),312,IF(AND(L130="Vermögend und ambulant",D133&gt;1,D133&lt;=2),339,IF(AND(L130="Vermögend und ambulant",D133&gt;0,D133&lt;=1),486,IF(AND(L130="Vermögend und stationär",D133&gt;8,D133&lt;=1000),127,IF(AND(L130="Vermögend und stationär",D133&gt;4,D133&lt;=8),149,IF(AND(L130="Vermögend und stationär",D133&gt;2,D133&lt;=4),229,IF(AND(L130="Vermögend und stationär",D133&gt;1,D133&lt;=2),257,IF(AND(L130="Vermögend und stationär",D133&gt;0,D133&lt;=1),327,IF(AND(L130="Mittellos und ambulant",D133&gt;8,D133&lt;=1000),171,IF(AND(L130="Mittellos und ambulant",D133&gt;4,D133&lt;=8),198,IF(AND(L130="Mittellos und ambulant",D133&gt;2,D133&lt;=4),246,IF(AND(L130="Mittellos und ambulant",D133&gt;1,D133&lt;=2),277,IF(AND(L130="Mittellos und ambulant",D133&gt;0,D133&lt;=1),339,IF(AND(L130="Mittellos und stationär",D133&gt;8,D133&lt;=1000),102,IF(AND(L130="Mittellos und stationär",D133&gt;4,D133&lt;=8),141,IF(AND(L130="Mittellos und stationär",D133&gt;2,D133&lt;=4),202,IF(AND(L130="Mittellos und stationär",D133&gt;1,D133&lt;=2),208,IF(AND(L130="Mittellos und stationär",D133&gt;0,D133&lt;=1),317,""))))))))))))))))))))),"")))*3+(J129*90)</f>
        <v>#NUM!</v>
      </c>
      <c r="M134" s="507" t="str">
        <f>CONCATENATE(K134, K133)</f>
        <v>+Inflat.-P</v>
      </c>
      <c r="N134" s="216"/>
      <c r="O134" s="188" t="s">
        <v>118</v>
      </c>
      <c r="P134" s="188"/>
      <c r="Q134" s="221"/>
      <c r="R134" s="199"/>
      <c r="S134" s="190"/>
      <c r="T134" s="190"/>
      <c r="U134" s="191"/>
      <c r="V134" s="192"/>
      <c r="W134" s="222" t="s">
        <v>118</v>
      </c>
      <c r="X134" s="222" t="s">
        <v>117</v>
      </c>
      <c r="Y134" s="191" t="s">
        <v>26</v>
      </c>
      <c r="Z134" s="192"/>
      <c r="AA134" s="190"/>
      <c r="AB134" s="190"/>
      <c r="AC134" s="191"/>
      <c r="AD134" s="192"/>
      <c r="AE134" s="190"/>
      <c r="AF134" s="190"/>
      <c r="AG134" s="191"/>
      <c r="AH134" s="193"/>
      <c r="AI134" s="190"/>
      <c r="AJ134" s="190"/>
      <c r="AK134" s="374"/>
      <c r="AL134" s="348" t="s">
        <v>149</v>
      </c>
      <c r="AM134" s="354"/>
      <c r="AN134" s="354">
        <f>IF(SUM(O130:O138)=SUM(W130:W138), 0, SUM(O130:O138)-SUM(W130:W138))</f>
        <v>0</v>
      </c>
      <c r="AO134" s="354"/>
      <c r="AP134" s="354"/>
      <c r="AQ134" s="350">
        <f>AM134+AN134+AO134+AP134</f>
        <v>0</v>
      </c>
      <c r="AR134" s="769"/>
      <c r="AS134" s="769"/>
      <c r="AT134" s="769"/>
      <c r="AW134"/>
      <c r="AX134"/>
      <c r="AY134" s="280"/>
      <c r="AZ134"/>
      <c r="BA134"/>
      <c r="BB134"/>
      <c r="BC134"/>
      <c r="BD134"/>
      <c r="BE134"/>
      <c r="BF134"/>
      <c r="BG134" s="280"/>
      <c r="BH134"/>
      <c r="BI134"/>
      <c r="BJ134"/>
      <c r="BK134"/>
      <c r="BL134"/>
      <c r="BM134"/>
      <c r="BN134"/>
      <c r="BO134"/>
      <c r="BS134" s="335"/>
      <c r="BT134" s="335"/>
      <c r="BU134" s="335"/>
      <c r="BV134" s="335"/>
      <c r="BW134" s="335"/>
      <c r="BX134" s="335"/>
      <c r="BY134" s="335"/>
      <c r="BZ134" s="335"/>
      <c r="CA134" s="335"/>
      <c r="CB134" s="335"/>
      <c r="CC134" s="335"/>
      <c r="CD134" s="335"/>
      <c r="CE134" s="335"/>
      <c r="CF134" s="335"/>
      <c r="CG134" s="335"/>
      <c r="CH134" s="335"/>
      <c r="CI134" s="335"/>
    </row>
    <row r="135" spans="1:87" ht="22.25" customHeight="1">
      <c r="A135" s="181">
        <f t="shared" si="38"/>
        <v>45292</v>
      </c>
      <c r="B135" s="484">
        <f>YEAR($A136)-1</f>
        <v>2023</v>
      </c>
      <c r="C135" s="489" t="s">
        <v>158</v>
      </c>
      <c r="D135" s="520" t="e">
        <f>D133+1</f>
        <v>#NUM!</v>
      </c>
      <c r="E135" s="194" t="e">
        <f>DATE(YEAR(E134),MONTH(E134),DAY(E134)+1)</f>
        <v>#NUM!</v>
      </c>
      <c r="F135" s="195" t="e">
        <f t="shared" si="55"/>
        <v>#NUM!</v>
      </c>
      <c r="G135" s="196" t="e">
        <f t="shared" si="56"/>
        <v>#NUM!</v>
      </c>
      <c r="H135" s="195" t="e">
        <f t="shared" si="57"/>
        <v>#NUM!</v>
      </c>
      <c r="I135" s="197">
        <f>IF(J137&lt;13,J137,"")</f>
        <v>9</v>
      </c>
      <c r="J135" s="224">
        <f>G130</f>
        <v>0</v>
      </c>
      <c r="K135" s="501" t="str">
        <f t="shared" si="39"/>
        <v/>
      </c>
      <c r="L135" s="471"/>
      <c r="M135" s="473" t="e">
        <f ca="1">SUM(J130-E136)&amp;" Tage"</f>
        <v>#NUM!</v>
      </c>
      <c r="N135" s="200"/>
      <c r="O135" s="201"/>
      <c r="P135" s="201"/>
      <c r="Q135" s="202"/>
      <c r="R135" s="189"/>
      <c r="S135" s="203"/>
      <c r="T135" s="203"/>
      <c r="U135" s="204"/>
      <c r="V135" s="192"/>
      <c r="W135" s="203"/>
      <c r="X135" s="203"/>
      <c r="Y135" s="204"/>
      <c r="Z135" s="192"/>
      <c r="AA135" s="203"/>
      <c r="AB135" s="203"/>
      <c r="AC135" s="204"/>
      <c r="AD135" s="192"/>
      <c r="AE135" s="203"/>
      <c r="AF135" s="203"/>
      <c r="AG135" s="204"/>
      <c r="AH135" s="193"/>
      <c r="AI135" s="203"/>
      <c r="AJ135" s="203"/>
      <c r="AK135" s="375"/>
      <c r="AL135" s="348"/>
      <c r="AM135" s="354"/>
      <c r="AN135" s="354"/>
      <c r="AO135" s="354"/>
      <c r="AP135" s="354"/>
      <c r="AQ135" s="350"/>
      <c r="AR135" s="769"/>
      <c r="AS135" s="769"/>
      <c r="AT135" s="769"/>
      <c r="AW135"/>
      <c r="AX135"/>
      <c r="AY135" s="280"/>
      <c r="AZ135"/>
      <c r="BA135"/>
      <c r="BB135"/>
      <c r="BC135"/>
      <c r="BD135"/>
      <c r="BE135"/>
      <c r="BF135"/>
      <c r="BG135" s="280"/>
      <c r="BH135"/>
      <c r="BI135"/>
      <c r="BJ135"/>
      <c r="BK135"/>
      <c r="BL135"/>
      <c r="BM135"/>
      <c r="BN135"/>
      <c r="BO135"/>
      <c r="BS135" s="335"/>
      <c r="BT135" s="335"/>
      <c r="BU135" s="335"/>
      <c r="BV135" s="335"/>
      <c r="BW135" s="335"/>
      <c r="BX135" s="335"/>
      <c r="BY135" s="335"/>
      <c r="BZ135" s="335"/>
      <c r="CA135" s="335"/>
      <c r="CB135" s="335"/>
      <c r="CC135" s="335"/>
      <c r="CD135" s="335"/>
      <c r="CE135" s="335"/>
      <c r="CF135" s="335"/>
      <c r="CG135" s="335"/>
      <c r="CH135" s="335"/>
      <c r="CI135" s="335"/>
    </row>
    <row r="136" spans="1:87" ht="22.25" customHeight="1">
      <c r="A136" s="181">
        <f t="shared" si="38"/>
        <v>45292</v>
      </c>
      <c r="B136" s="485"/>
      <c r="C136" s="490"/>
      <c r="D136" s="521"/>
      <c r="E136" s="194" t="e">
        <f>DATE(YEAR(E135),MONTH(E135)+3,DAY(E135)-1)</f>
        <v>#NUM!</v>
      </c>
      <c r="F136" s="195" t="e">
        <f t="shared" si="55"/>
        <v>#NUM!</v>
      </c>
      <c r="G136" s="196" t="e">
        <f t="shared" si="56"/>
        <v>#NUM!</v>
      </c>
      <c r="H136" s="195" t="e">
        <f t="shared" si="57"/>
        <v>#NUM!</v>
      </c>
      <c r="I136" s="244">
        <f>IF(J138&lt;13,J138,"")</f>
        <v>6</v>
      </c>
      <c r="J136" s="224">
        <f>J135+3</f>
        <v>3</v>
      </c>
      <c r="K136" s="506" t="str">
        <f t="shared" si="39"/>
        <v>+Inflat.-P</v>
      </c>
      <c r="L136" s="511" t="e">
        <f>IF(M129="Stufe A",IF(AND(L130="Auswahl treffen",D135&gt;=0,D135&lt;=1000),J129,IF(AND(L130="Vermögend und ambulant",D135&gt;8,D135&lt;=1000),130,IF(AND(L130="Vermögend und ambulant",D135&gt;4,D135&lt;=8),158,IF(AND(L130="Vermögend und ambulant",D135&gt;2,D135&lt;=4),192,IF(AND(L130="Vermögend und ambulant",D135&gt;1,D135&lt;=2),208,IF(AND(L130="Vermögend und ambulant",D135&gt;0,D135&lt;=1),298,IF(AND(L130="Vermögend und stationär",D135&gt;8,D135&lt;=1000),78,IF(AND(L130="Vermögend und stationär",D135&gt;4,D135&lt;=8),91,IF(AND(L130="Vermögend und stationär",D135&gt;2,D135&lt;=4),140,IF(AND(L130="Vermögend und stationär",D135&gt;1,D135&lt;=2),158,IF(AND(L130="Vermögend und stationär",D135&gt;0,D135&lt;=1),200,IF(AND(L130="Mittellos und ambulant",D135&gt;8,D135&lt;=1000),105,IF(AND(L130="Mittellos und ambulant",D135&gt;4,D135&lt;=8),122,IF(AND(L130="Mittellos und ambulant",D135&gt;2,D135&lt;=4),151,IF(AND(L130="Mittellos und ambulant",D135&gt;1,D135&lt;=2),170,IF(AND(L130="Mittellos und ambulant",D135&gt;0,D135&lt;=1),208,IF(AND(L130="Mittellos und stationär",D135&gt;8,D135&lt;=1000),62,IF(AND(L130="Mittellos und stationär",D135&gt;4,D135&lt;=8),87,IF(AND(L130="Mittellos und stationär",D135&gt;2,D135&lt;=4),124,IF(AND(L130="Mittellos und stationär",D135&gt;1,D135&lt;=2),129,IF(AND(L130="Mittellos und stationär",D135&gt;0,D135&lt;=1),194,""))))))))))))))))))))),IF(M129="Stufe B",IF(AND(L130="Auswahl treffen",D135&gt;=0,D135&lt;=1000),J129,IF(AND(L130="Vermögend und ambulant",D135&gt;8,D135&lt;=1000),161,IF(AND(L130="Vermögend und ambulant",D135&gt;4,D135&lt;=8),196,IF(AND(L130="Vermögend und ambulant",D135&gt;2,D135&lt;=4),238,IF(AND(L130="Vermögend und ambulant",D135&gt;1,D135&lt;=2),258,IF(AND(L130="Vermögend und ambulant",D135&gt;0,D135&lt;=1),370,IF(AND(L130="Vermögend und stationär",D135&gt;8,D135&lt;=1000),96,IF(AND(L130="Vermögend und stationär",D135&gt;4,D135&lt;=8),113,IF(AND(L130="Vermögend und stationär",D135&gt;2,D135&lt;=4),174,IF(AND(L130="Vermögend und stationär",D135&gt;1,D135&lt;=2),196,IF(AND(L130="Vermögend und stationär",D135&gt;0,D135&lt;=1),249,IF(AND(L130="Mittellos und ambulant",D135&gt;8,D135&lt;=1000),130,IF(AND(L130="Mittellos und ambulant",D135&gt;4,D135&lt;=8),151,IF(AND(L130="Mittellos und ambulant",D135&gt;2,D135&lt;=4),188,IF(AND(L130="Mittellos und ambulant",D135&gt;1,D135&lt;=2),211,IF(AND(L130="Mittellos und ambulant",D135&gt;0,D135&lt;=1),258,IF(AND(L130="Mittellos und stationär",D135&gt;8,D135&lt;=1000),78,IF(AND(L130="Mittellos und stationär",D135&gt;4,D135&lt;=8),107,IF(AND(L130="Mittellos und stationär",D135&gt;2,D135&lt;=4),154,IF(AND(L130="Mittellos und stationär",D135&gt;1,D135&lt;=2),158,IF(AND(L130="Mittellos und stationär",D135&gt;0,D135&lt;=1),241,""))))))))))))))))))))),IF(M129="Stufe C",IF(AND(L130="Auswahl treffen",D135&gt;=0,D135&lt;=1000),J129,IF(AND(L130="Vermögend und ambulant",D135&gt;8,D135&lt;=1000),211,IF(AND(L130="Vermögend und ambulant",D135&gt;4,D135&lt;=8),257,IF(AND(L130="Vermögend und ambulant",D135&gt;2,D135&lt;=4),312,IF(AND(L130="Vermögend und ambulant",D135&gt;1,D135&lt;=2),339,IF(AND(L130="Vermögend und ambulant",D135&gt;0,D135&lt;=1),486,IF(AND(L130="Vermögend und stationär",D135&gt;8,D135&lt;=1000),127,IF(AND(L130="Vermögend und stationär",D135&gt;4,D135&lt;=8),149,IF(AND(L130="Vermögend und stationär",D135&gt;2,D135&lt;=4),229,IF(AND(L130="Vermögend und stationär",D135&gt;1,D135&lt;=2),257,IF(AND(L130="Vermögend und stationär",D135&gt;0,D135&lt;=1),327,IF(AND(L130="Mittellos und ambulant",D135&gt;8,D135&lt;=1000),171,IF(AND(L130="Mittellos und ambulant",D135&gt;4,D135&lt;=8),198,IF(AND(L130="Mittellos und ambulant",D135&gt;2,D135&lt;=4),246,IF(AND(L130="Mittellos und ambulant",D135&gt;1,D135&lt;=2),277,IF(AND(L130="Mittellos und ambulant",D135&gt;0,D135&lt;=1),339,IF(AND(L130="Mittellos und stationär",D135&gt;8,D135&lt;=1000),102,IF(AND(L130="Mittellos und stationär",D135&gt;4,D135&lt;=8),141,IF(AND(L130="Mittellos und stationär",D135&gt;2,D135&lt;=4),202,IF(AND(L130="Mittellos und stationär",D135&gt;1,D135&lt;=2),208,IF(AND(L130="Mittellos und stationär",D135&gt;0,D135&lt;=1),317,""))))))))))))))))))))),"")))*3+(J129*90)</f>
        <v>#NUM!</v>
      </c>
      <c r="M136" s="507" t="str">
        <f>CONCATENATE(K136, K135)</f>
        <v>+Inflat.-P</v>
      </c>
      <c r="N136" s="206"/>
      <c r="O136" s="207"/>
      <c r="P136" s="206" t="s">
        <v>118</v>
      </c>
      <c r="Q136" s="226"/>
      <c r="R136" s="189"/>
      <c r="S136" s="203"/>
      <c r="T136" s="203"/>
      <c r="U136" s="204"/>
      <c r="V136" s="192"/>
      <c r="W136" s="203"/>
      <c r="X136" s="203"/>
      <c r="Y136" s="204"/>
      <c r="Z136" s="192"/>
      <c r="AA136" s="209" t="s">
        <v>118</v>
      </c>
      <c r="AB136" s="209" t="s">
        <v>117</v>
      </c>
      <c r="AC136" s="204" t="s">
        <v>26</v>
      </c>
      <c r="AD136" s="192"/>
      <c r="AE136" s="203"/>
      <c r="AF136" s="203"/>
      <c r="AG136" s="204"/>
      <c r="AH136" s="193"/>
      <c r="AI136" s="203"/>
      <c r="AJ136" s="203"/>
      <c r="AK136" s="375"/>
      <c r="AL136" s="348" t="s">
        <v>150</v>
      </c>
      <c r="AM136" s="354"/>
      <c r="AN136" s="354"/>
      <c r="AO136" s="354">
        <f>IF(SUM(P130:P138)=SUM(AA130:AA138), 0, SUM(P130:P138)-SUM(AA130:AA138))</f>
        <v>0</v>
      </c>
      <c r="AP136" s="354"/>
      <c r="AQ136" s="350">
        <f>AM136+AN136+AO136+AP136</f>
        <v>0</v>
      </c>
      <c r="AR136" s="769"/>
      <c r="AS136" s="769"/>
      <c r="AT136" s="769"/>
      <c r="AW136"/>
      <c r="AX136"/>
      <c r="AY136" s="280"/>
      <c r="AZ136"/>
      <c r="BA136"/>
      <c r="BB136"/>
      <c r="BC136"/>
      <c r="BD136"/>
      <c r="BE136"/>
      <c r="BF136"/>
      <c r="BG136" s="280"/>
      <c r="BH136"/>
      <c r="BI136"/>
      <c r="BJ136"/>
      <c r="BK136"/>
      <c r="BL136"/>
      <c r="BM136"/>
      <c r="BN136"/>
      <c r="BO136"/>
      <c r="BS136" s="335"/>
      <c r="BT136" s="335"/>
      <c r="BU136" s="335"/>
      <c r="BV136" s="335"/>
      <c r="BW136" s="335"/>
      <c r="BX136" s="335"/>
      <c r="BY136" s="335"/>
      <c r="BZ136" s="335"/>
      <c r="CA136" s="335"/>
      <c r="CB136" s="335"/>
      <c r="CC136" s="335"/>
      <c r="CD136" s="335"/>
      <c r="CE136" s="335"/>
      <c r="CF136" s="335"/>
      <c r="CG136" s="335"/>
      <c r="CH136" s="335"/>
      <c r="CI136" s="335"/>
    </row>
    <row r="137" spans="1:87" ht="22.25" customHeight="1">
      <c r="A137" s="181">
        <f t="shared" ref="A137:A200" si="58">$A136</f>
        <v>45292</v>
      </c>
      <c r="B137" s="486"/>
      <c r="C137" s="489" t="s">
        <v>158</v>
      </c>
      <c r="D137" s="522" t="e">
        <f>D135+1</f>
        <v>#NUM!</v>
      </c>
      <c r="E137" s="211" t="e">
        <f>DATE(YEAR(E136),MONTH(E136),DAY(E136)+1)</f>
        <v>#NUM!</v>
      </c>
      <c r="F137" s="227" t="e">
        <f t="shared" si="55"/>
        <v>#NUM!</v>
      </c>
      <c r="G137" s="228" t="e">
        <f t="shared" si="56"/>
        <v>#NUM!</v>
      </c>
      <c r="H137" s="227" t="e">
        <f t="shared" si="57"/>
        <v>#NUM!</v>
      </c>
      <c r="I137" s="231">
        <f>IF(J136&lt;13,J136,"")</f>
        <v>3</v>
      </c>
      <c r="J137" s="230">
        <f>J138+3</f>
        <v>9</v>
      </c>
      <c r="K137" s="501" t="str">
        <f t="shared" si="39"/>
        <v/>
      </c>
      <c r="L137" s="471"/>
      <c r="M137" s="473" t="e">
        <f ca="1">SUM(J130-E138)&amp;" Tage"</f>
        <v>#NUM!</v>
      </c>
      <c r="N137" s="216"/>
      <c r="O137" s="188"/>
      <c r="P137" s="188"/>
      <c r="Q137" s="217"/>
      <c r="R137" s="189"/>
      <c r="S137" s="190"/>
      <c r="T137" s="190"/>
      <c r="U137" s="191"/>
      <c r="V137" s="192"/>
      <c r="W137" s="190"/>
      <c r="X137" s="190"/>
      <c r="Y137" s="191"/>
      <c r="Z137" s="192"/>
      <c r="AA137" s="190"/>
      <c r="AB137" s="190"/>
      <c r="AC137" s="191"/>
      <c r="AD137" s="192"/>
      <c r="AE137" s="190"/>
      <c r="AF137" s="190"/>
      <c r="AG137" s="191"/>
      <c r="AH137" s="193"/>
      <c r="AI137" s="190"/>
      <c r="AJ137" s="190"/>
      <c r="AK137" s="374"/>
      <c r="AL137" s="348"/>
      <c r="AM137" s="354"/>
      <c r="AN137" s="354"/>
      <c r="AO137" s="354"/>
      <c r="AP137" s="354"/>
      <c r="AQ137" s="350"/>
      <c r="AR137" s="769"/>
      <c r="AS137" s="769"/>
      <c r="AT137" s="769"/>
      <c r="AW137"/>
      <c r="AX137"/>
      <c r="AY137" s="280"/>
      <c r="AZ137"/>
      <c r="BA137"/>
      <c r="BB137"/>
      <c r="BC137"/>
      <c r="BD137"/>
      <c r="BE137"/>
      <c r="BF137"/>
      <c r="BG137" s="280"/>
      <c r="BH137"/>
      <c r="BI137"/>
      <c r="BJ137"/>
      <c r="BK137"/>
      <c r="BL137"/>
      <c r="BM137"/>
      <c r="BN137"/>
      <c r="BO137"/>
      <c r="BS137" s="335"/>
      <c r="BT137" s="335"/>
      <c r="BU137" s="335"/>
      <c r="BV137" s="335"/>
      <c r="BW137" s="335"/>
      <c r="BX137" s="335"/>
      <c r="BY137" s="335"/>
      <c r="BZ137" s="335"/>
      <c r="CA137" s="335"/>
      <c r="CB137" s="335"/>
      <c r="CC137" s="335"/>
      <c r="CD137" s="335"/>
      <c r="CE137" s="335"/>
      <c r="CF137" s="335"/>
      <c r="CG137" s="335"/>
      <c r="CH137" s="335"/>
      <c r="CI137" s="335"/>
    </row>
    <row r="138" spans="1:87" ht="22.25" customHeight="1">
      <c r="A138" s="181">
        <f t="shared" si="58"/>
        <v>45292</v>
      </c>
      <c r="B138" s="485"/>
      <c r="C138" s="490"/>
      <c r="D138" s="521"/>
      <c r="E138" s="218" t="e">
        <f>DATE(YEAR(E137),MONTH(E137)+3,DAY(E137)-1)</f>
        <v>#NUM!</v>
      </c>
      <c r="F138" s="227" t="e">
        <f t="shared" si="55"/>
        <v>#NUM!</v>
      </c>
      <c r="G138" s="228" t="e">
        <f t="shared" si="56"/>
        <v>#NUM!</v>
      </c>
      <c r="H138" s="227" t="e">
        <f t="shared" si="57"/>
        <v>#NUM!</v>
      </c>
      <c r="I138" s="231">
        <f>IF(J135&lt;13,J135,"")</f>
        <v>0</v>
      </c>
      <c r="J138" s="230">
        <f>J136+3</f>
        <v>6</v>
      </c>
      <c r="K138" s="501" t="str">
        <f t="shared" si="39"/>
        <v>+Inflat.-P</v>
      </c>
      <c r="L138" s="508" t="e">
        <f>IF(M129="Stufe A",IF(AND(L130="Auswahl treffen",D137&gt;=0,D137&lt;=1000),J129,IF(AND(L130="Vermögend und ambulant",D137&gt;8,D137&lt;=1000),130,IF(AND(L130="Vermögend und ambulant",D137&gt;4,D137&lt;=8),158,IF(AND(L130="Vermögend und ambulant",D137&gt;2,D137&lt;=4),192,IF(AND(L130="Vermögend und ambulant",D137&gt;1,D137&lt;=2),208,IF(AND(L130="Vermögend und ambulant",D137&gt;0,D137&lt;=1),298,IF(AND(L130="Vermögend und stationär",D137&gt;8,D137&lt;=1000),78,IF(AND(L130="Vermögend und stationär",D137&gt;4,D137&lt;=8),91,IF(AND(L130="Vermögend und stationär",D137&gt;2,D137&lt;=4),140,IF(AND(L130="Vermögend und stationär",D137&gt;1,D137&lt;=2),158,IF(AND(L130="Vermögend und stationär",D137&gt;0,D137&lt;=1),200,IF(AND(L130="Mittellos und ambulant",D137&gt;8,D137&lt;=1000),105,IF(AND(L130="Mittellos und ambulant",D137&gt;4,D137&lt;=8),122,IF(AND(L130="Mittellos und ambulant",D137&gt;2,D137&lt;=4),151,IF(AND(L130="Mittellos und ambulant",D137&gt;1,D137&lt;=2),170,IF(AND(L130="Mittellos und ambulant",D137&gt;0,D137&lt;=1),208,IF(AND(L130="Mittellos und stationär",D137&gt;8,D137&lt;=1000),62,IF(AND(L130="Mittellos und stationär",D137&gt;4,D137&lt;=8),87,IF(AND(L130="Mittellos und stationär",D137&gt;2,D137&lt;=4),124,IF(AND(L130="Mittellos und stationär",D137&gt;1,D137&lt;=2),129,IF(AND(L130="Mittellos und stationär",D137&gt;0,D137&lt;=1),194,""))))))))))))))))))))),IF(M129="Stufe B",IF(AND(L130="Auswahl treffen",D137&gt;=0,D137&lt;=1000),J129,IF(AND(L130="Vermögend und ambulant",D137&gt;8,D137&lt;=1000),161,IF(AND(L130="Vermögend und ambulant",D137&gt;4,D137&lt;=8),196,IF(AND(L130="Vermögend und ambulant",D137&gt;2,D137&lt;=4),238,IF(AND(L130="Vermögend und ambulant",D137&gt;1,D137&lt;=2),258,IF(AND(L130="Vermögend und ambulant",D137&gt;0,D137&lt;=1),370,IF(AND(L130="Vermögend und stationär",D137&gt;8,D137&lt;=1000),96,IF(AND(L130="Vermögend und stationär",D137&gt;4,D137&lt;=8),113,IF(AND(L130="Vermögend und stationär",D137&gt;2,D137&lt;=4),174,IF(AND(L130="Vermögend und stationär",D137&gt;1,D137&lt;=2),196,IF(AND(L130="Vermögend und stationär",D137&gt;0,D137&lt;=1),249,IF(AND(L130="Mittellos und ambulant",D137&gt;8,D137&lt;=1000),130,IF(AND(L130="Mittellos und ambulant",D137&gt;4,D137&lt;=8),151,IF(AND(L130="Mittellos und ambulant",D137&gt;2,D137&lt;=4),188,IF(AND(L130="Mittellos und ambulant",D137&gt;1,D137&lt;=2),211,IF(AND(L130="Mittellos und ambulant",D137&gt;0,D137&lt;=1),258,IF(AND(L130="Mittellos und stationär",D137&gt;8,D137&lt;=1000),78,IF(AND(L130="Mittellos und stationär",D137&gt;4,D137&lt;=8),107,IF(AND(L130="Mittellos und stationär",D137&gt;2,D137&lt;=4),154,IF(AND(L130="Mittellos und stationär",D137&gt;1,D137&lt;=2),158,IF(AND(L130="Mittellos und stationär",D137&gt;0,D137&lt;=1),241,""))))))))))))))))))))),IF(M129="Stufe C",IF(AND(L130="Auswahl treffen",D137&gt;=0,D137&lt;=1000),J129,IF(AND(L130="Vermögend und ambulant",D137&gt;8,D137&lt;=1000),211,IF(AND(L130="Vermögend und ambulant",D137&gt;4,D137&lt;=8),257,IF(AND(L130="Vermögend und ambulant",D137&gt;2,D137&lt;=4),312,IF(AND(L130="Vermögend und ambulant",D137&gt;1,D137&lt;=2),339,IF(AND(L130="Vermögend und ambulant",D137&gt;0,D137&lt;=1),486,IF(AND(L130="Vermögend und stationär",D137&gt;8,D137&lt;=1000),127,IF(AND(L130="Vermögend und stationär",D137&gt;4,D137&lt;=8),149,IF(AND(L130="Vermögend und stationär",D137&gt;2,D137&lt;=4),229,IF(AND(L130="Vermögend und stationär",D137&gt;1,D137&lt;=2),257,IF(AND(L130="Vermögend und stationär",D137&gt;0,D137&lt;=1),327,IF(AND(L130="Mittellos und ambulant",D137&gt;8,D137&lt;=1000),171,IF(AND(L130="Mittellos und ambulant",D137&gt;4,D137&lt;=8),198,IF(AND(L130="Mittellos und ambulant",D137&gt;2,D137&lt;=4),246,IF(AND(L130="Mittellos und ambulant",D137&gt;1,D137&lt;=2),277,IF(AND(L130="Mittellos und ambulant",D137&gt;0,D137&lt;=1),339,IF(AND(L130="Mittellos und stationär",D137&gt;8,D137&lt;=1000),102,IF(AND(L130="Mittellos und stationär",D137&gt;4,D137&lt;=8),141,IF(AND(L130="Mittellos und stationär",D137&gt;2,D137&lt;=4),202,IF(AND(L130="Mittellos und stationär",D137&gt;1,D137&lt;=2),208,IF(AND(L130="Mittellos und stationär",D137&gt;0,D137&lt;=1),317,""))))))))))))))))))))),"")))*3+(J129*90)</f>
        <v>#NUM!</v>
      </c>
      <c r="M138" s="507" t="str">
        <f>CONCATENATE(K138, K137)</f>
        <v>+Inflat.-P</v>
      </c>
      <c r="N138" s="216"/>
      <c r="O138" s="188"/>
      <c r="P138" s="188"/>
      <c r="Q138" s="217" t="s">
        <v>118</v>
      </c>
      <c r="R138" s="189"/>
      <c r="S138" s="190"/>
      <c r="T138" s="190"/>
      <c r="U138" s="191"/>
      <c r="V138" s="192"/>
      <c r="W138" s="190"/>
      <c r="X138" s="190"/>
      <c r="Y138" s="191"/>
      <c r="Z138" s="192"/>
      <c r="AA138" s="190"/>
      <c r="AB138" s="190"/>
      <c r="AC138" s="191"/>
      <c r="AD138" s="192"/>
      <c r="AE138" s="190" t="s">
        <v>118</v>
      </c>
      <c r="AF138" s="190" t="s">
        <v>117</v>
      </c>
      <c r="AG138" s="191" t="s">
        <v>26</v>
      </c>
      <c r="AH138" s="193"/>
      <c r="AI138" s="190" t="s">
        <v>118</v>
      </c>
      <c r="AJ138" s="190" t="s">
        <v>117</v>
      </c>
      <c r="AK138" s="374" t="s">
        <v>26</v>
      </c>
      <c r="AL138" s="348" t="s">
        <v>151</v>
      </c>
      <c r="AM138" s="354"/>
      <c r="AN138" s="354"/>
      <c r="AO138" s="354"/>
      <c r="AP138" s="354">
        <f>IF(SUM(Q130:Q138)=SUM(AE130:AE138,AI130:AI138), 0, SUM(Q130:Q138)-SUM(AE130:AE138,AI130:AI138))</f>
        <v>0</v>
      </c>
      <c r="AQ138" s="350">
        <f>AM138+AN138+AO138+AP138</f>
        <v>0</v>
      </c>
      <c r="AR138" s="769"/>
      <c r="AS138" s="769"/>
      <c r="AT138" s="769"/>
      <c r="AW138"/>
      <c r="AX138"/>
      <c r="AY138" s="280"/>
      <c r="AZ138"/>
      <c r="BA138"/>
      <c r="BB138"/>
      <c r="BC138"/>
      <c r="BD138"/>
      <c r="BE138"/>
      <c r="BF138"/>
      <c r="BG138" s="280"/>
      <c r="BH138"/>
      <c r="BI138"/>
      <c r="BJ138"/>
      <c r="BK138"/>
      <c r="BL138"/>
      <c r="BM138"/>
      <c r="BN138"/>
      <c r="BO138"/>
      <c r="BS138" s="335"/>
      <c r="BT138" s="335"/>
      <c r="BU138" s="335"/>
      <c r="BV138" s="335"/>
      <c r="BW138" s="335"/>
      <c r="BX138" s="335"/>
      <c r="BY138" s="335"/>
      <c r="BZ138" s="335"/>
      <c r="CA138" s="335"/>
      <c r="CB138" s="335"/>
      <c r="CC138" s="335"/>
      <c r="CD138" s="335"/>
      <c r="CE138" s="335"/>
      <c r="CF138" s="335"/>
      <c r="CG138" s="335"/>
      <c r="CH138" s="335"/>
      <c r="CI138" s="335"/>
    </row>
    <row r="139" spans="1:87" ht="22" customHeight="1">
      <c r="A139" s="181">
        <f t="shared" si="58"/>
        <v>45292</v>
      </c>
      <c r="B139" s="232" t="s">
        <v>74</v>
      </c>
      <c r="C139" s="233" t="s">
        <v>75</v>
      </c>
      <c r="D139" s="234" t="s">
        <v>76</v>
      </c>
      <c r="E139" s="235" t="s">
        <v>11</v>
      </c>
      <c r="F139" s="235" t="s">
        <v>4</v>
      </c>
      <c r="G139" s="235" t="s">
        <v>5</v>
      </c>
      <c r="H139" s="235" t="s">
        <v>6</v>
      </c>
      <c r="I139" s="236" t="s">
        <v>77</v>
      </c>
      <c r="J139" s="306"/>
      <c r="K139" s="506" t="str">
        <f t="shared" si="39"/>
        <v/>
      </c>
      <c r="L139" s="306" t="str">
        <f>IFERROR(VLOOKUP(B140,'Aktuelle Einnahmen'!A2:J104,10,0),"")</f>
        <v/>
      </c>
      <c r="M139" s="510" t="str">
        <f>M129</f>
        <v>Stufe C</v>
      </c>
      <c r="N139" s="237"/>
      <c r="O139" s="238"/>
      <c r="P139" s="238"/>
      <c r="Q139" s="239"/>
      <c r="R139" s="240"/>
      <c r="S139" s="241"/>
      <c r="T139" s="241"/>
      <c r="U139" s="242"/>
      <c r="V139" s="243"/>
      <c r="W139" s="241"/>
      <c r="X139" s="241"/>
      <c r="Y139" s="242"/>
      <c r="Z139" s="243"/>
      <c r="AA139" s="241"/>
      <c r="AB139" s="241"/>
      <c r="AC139" s="242"/>
      <c r="AD139" s="243"/>
      <c r="AE139" s="241"/>
      <c r="AF139" s="241"/>
      <c r="AG139" s="242"/>
      <c r="AH139" s="240"/>
      <c r="AI139" s="241"/>
      <c r="AJ139" s="241"/>
      <c r="AK139" s="377"/>
      <c r="AL139" s="347"/>
      <c r="AM139" s="353"/>
      <c r="AN139" s="353"/>
      <c r="AO139" s="353"/>
      <c r="AP139" s="353"/>
      <c r="AQ139" s="349"/>
      <c r="AR139" s="768"/>
      <c r="AS139" s="768"/>
      <c r="AT139" s="768"/>
      <c r="AW139"/>
      <c r="AX139"/>
      <c r="AY139" s="280"/>
      <c r="AZ139"/>
      <c r="BA139"/>
      <c r="BB139"/>
      <c r="BC139"/>
      <c r="BD139"/>
      <c r="BE139"/>
      <c r="BF139"/>
      <c r="BG139" s="280"/>
      <c r="BH139"/>
      <c r="BI139"/>
      <c r="BJ139"/>
      <c r="BK139"/>
      <c r="BL139"/>
      <c r="BM139"/>
      <c r="BN139"/>
      <c r="BO139"/>
      <c r="BS139" s="335"/>
      <c r="BT139" s="335"/>
      <c r="BU139" s="335"/>
      <c r="BV139" s="335"/>
      <c r="BW139" s="335"/>
      <c r="BX139" s="335"/>
      <c r="BY139" s="335"/>
      <c r="BZ139" s="335"/>
      <c r="CA139" s="335"/>
      <c r="CB139" s="335"/>
      <c r="CC139" s="335"/>
      <c r="CD139" s="335"/>
      <c r="CE139" s="335"/>
      <c r="CF139" s="335"/>
      <c r="CG139" s="335"/>
      <c r="CH139" s="335"/>
      <c r="CI139" s="335"/>
    </row>
    <row r="140" spans="1:87" ht="23" customHeight="1">
      <c r="A140" s="181">
        <f t="shared" si="58"/>
        <v>45292</v>
      </c>
      <c r="B140" s="182">
        <v>14</v>
      </c>
      <c r="C140" s="245">
        <f>IFERROR(VLOOKUP(B140,'Aktuelle Einnahmen'!A2:G104,3,0),"")</f>
        <v>0</v>
      </c>
      <c r="D140" s="246">
        <f>IFERROR(VLOOKUP($B140,'Aktuelle Einnahmen'!A2:G104,2,0),"")</f>
        <v>0</v>
      </c>
      <c r="E140" s="247">
        <f>IFERROR(VLOOKUP($B140,'Aktuelle Einnahmen'!A2:G104,4,0),"")</f>
        <v>0</v>
      </c>
      <c r="F140" s="94">
        <f>IFERROR(VLOOKUP($B140,'Aktuelle Einnahmen'!A12:G114,5,0),"")</f>
        <v>0</v>
      </c>
      <c r="G140" s="94">
        <f>IFERROR(VLOOKUP($B140,'Aktuelle Einnahmen'!A12:G114,6,0),"")</f>
        <v>0</v>
      </c>
      <c r="H140" s="94">
        <f>IFERROR(VLOOKUP($B140,'Aktuelle Einnahmen'!A12:G114,7,0),"")</f>
        <v>0</v>
      </c>
      <c r="I140" s="186" t="e">
        <f>DATE(H140,G140,F140)</f>
        <v>#NUM!</v>
      </c>
      <c r="J140" s="472">
        <f ca="1">J130</f>
        <v>45475</v>
      </c>
      <c r="K140" s="501" t="str">
        <f t="shared" si="39"/>
        <v>+Inflat.-P</v>
      </c>
      <c r="L140" s="1262" t="str">
        <f>IFERROR(VLOOKUP(B140,'Aktuelle Einnahmen'!A2:I104,9,0),"")</f>
        <v>Auswahl treffen</v>
      </c>
      <c r="M140" s="1263"/>
      <c r="N140" s="261"/>
      <c r="O140" s="261"/>
      <c r="P140" s="261"/>
      <c r="Q140" s="261"/>
      <c r="R140" s="189"/>
      <c r="S140" s="190"/>
      <c r="T140" s="190"/>
      <c r="U140" s="191"/>
      <c r="V140" s="192"/>
      <c r="W140" s="190"/>
      <c r="X140" s="190"/>
      <c r="Y140" s="191"/>
      <c r="Z140" s="192"/>
      <c r="AA140" s="190"/>
      <c r="AB140" s="190"/>
      <c r="AC140" s="191"/>
      <c r="AD140" s="192"/>
      <c r="AE140" s="190"/>
      <c r="AF140" s="190"/>
      <c r="AG140" s="191"/>
      <c r="AH140" s="193"/>
      <c r="AI140" s="190"/>
      <c r="AJ140" s="190"/>
      <c r="AK140" s="374"/>
      <c r="AL140" s="348"/>
      <c r="AM140" s="354"/>
      <c r="AN140" s="354"/>
      <c r="AO140" s="354"/>
      <c r="AP140" s="354"/>
      <c r="AQ140" s="350"/>
      <c r="AR140" s="769"/>
      <c r="AS140" s="769"/>
      <c r="AT140" s="769"/>
      <c r="AW140"/>
      <c r="AX140"/>
      <c r="AY140" s="280"/>
      <c r="AZ140"/>
      <c r="BA140"/>
      <c r="BB140"/>
      <c r="BC140"/>
      <c r="BD140"/>
      <c r="BE140"/>
      <c r="BF140"/>
      <c r="BG140" s="280"/>
      <c r="BH140"/>
      <c r="BI140"/>
      <c r="BJ140"/>
      <c r="BK140"/>
      <c r="BL140"/>
      <c r="BM140"/>
      <c r="BN140"/>
      <c r="BO140"/>
      <c r="BS140" s="335"/>
      <c r="BT140" s="335"/>
      <c r="BU140" s="335"/>
      <c r="BV140" s="335"/>
      <c r="BW140" s="335"/>
      <c r="BX140" s="335"/>
      <c r="BY140" s="335"/>
      <c r="BZ140" s="335"/>
      <c r="CA140" s="335"/>
      <c r="CB140" s="335"/>
      <c r="CC140" s="335"/>
      <c r="CD140" s="335"/>
      <c r="CE140" s="335"/>
      <c r="CF140" s="335"/>
      <c r="CG140" s="335"/>
      <c r="CH140" s="335"/>
      <c r="CI140" s="335"/>
    </row>
    <row r="141" spans="1:87" ht="22.25" customHeight="1">
      <c r="A141" s="181">
        <f t="shared" si="58"/>
        <v>45292</v>
      </c>
      <c r="B141" s="491" t="e">
        <f>DAY(I140)</f>
        <v>#NUM!</v>
      </c>
      <c r="C141" s="489" t="s">
        <v>158</v>
      </c>
      <c r="D141" s="523" t="e">
        <f>(I141*4)+J141/3+1</f>
        <v>#NUM!</v>
      </c>
      <c r="E141" s="194" t="e">
        <f>J143+1</f>
        <v>#NUM!</v>
      </c>
      <c r="F141" s="195" t="e">
        <f t="shared" ref="F141:F148" si="59">DAY(E141)</f>
        <v>#NUM!</v>
      </c>
      <c r="G141" s="196" t="e">
        <f t="shared" ref="G141:G148" si="60">MONTH(E141)</f>
        <v>#NUM!</v>
      </c>
      <c r="H141" s="195" t="e">
        <f t="shared" ref="H141:H148" si="61">YEAR(E141)</f>
        <v>#NUM!</v>
      </c>
      <c r="I141" s="197" t="e">
        <f>H141-(H140+2000)</f>
        <v>#NUM!</v>
      </c>
      <c r="J141" s="198" t="e">
        <f>G141-G140</f>
        <v>#NUM!</v>
      </c>
      <c r="K141" s="506" t="str">
        <f>L139</f>
        <v/>
      </c>
      <c r="L141" s="469"/>
      <c r="M141" s="473" t="e">
        <f ca="1">SUM(J140-E142)&amp;" Tage"</f>
        <v>#NUM!</v>
      </c>
      <c r="N141" s="206"/>
      <c r="O141" s="201"/>
      <c r="P141" s="201"/>
      <c r="Q141" s="202"/>
      <c r="R141" s="189"/>
      <c r="S141" s="203"/>
      <c r="T141" s="203"/>
      <c r="U141" s="204"/>
      <c r="V141" s="192"/>
      <c r="W141" s="203"/>
      <c r="X141" s="203"/>
      <c r="Y141" s="204"/>
      <c r="Z141" s="192"/>
      <c r="AA141" s="203"/>
      <c r="AB141" s="203"/>
      <c r="AC141" s="204"/>
      <c r="AD141" s="192"/>
      <c r="AE141" s="203"/>
      <c r="AF141" s="203"/>
      <c r="AG141" s="204"/>
      <c r="AH141" s="193"/>
      <c r="AI141" s="203"/>
      <c r="AJ141" s="203"/>
      <c r="AK141" s="375"/>
      <c r="AL141" s="348"/>
      <c r="AM141" s="354"/>
      <c r="AN141" s="354"/>
      <c r="AO141" s="354"/>
      <c r="AP141" s="354"/>
      <c r="AQ141" s="350"/>
      <c r="AR141" s="769"/>
      <c r="AS141" s="769"/>
      <c r="AT141" s="769"/>
      <c r="AW141"/>
      <c r="AX141"/>
      <c r="AY141" s="280"/>
      <c r="AZ141"/>
      <c r="BA141"/>
      <c r="BB141"/>
      <c r="BC141"/>
      <c r="BD141"/>
      <c r="BE141"/>
      <c r="BF141"/>
      <c r="BG141" s="280"/>
      <c r="BH141"/>
      <c r="BI141"/>
      <c r="BJ141"/>
      <c r="BK141"/>
      <c r="BL141"/>
      <c r="BM141"/>
      <c r="BN141"/>
      <c r="BO141"/>
      <c r="BS141" s="335"/>
      <c r="BT141" s="335"/>
      <c r="BU141" s="335"/>
      <c r="BV141" s="335"/>
      <c r="BW141" s="335"/>
      <c r="BX141" s="335"/>
      <c r="BY141" s="335"/>
      <c r="BZ141" s="335"/>
      <c r="CA141" s="335"/>
      <c r="CB141" s="335"/>
      <c r="CC141" s="335"/>
      <c r="CD141" s="335"/>
      <c r="CE141" s="335"/>
      <c r="CF141" s="335"/>
      <c r="CG141" s="335"/>
      <c r="CH141" s="335"/>
      <c r="CI141" s="335"/>
    </row>
    <row r="142" spans="1:87" ht="22.25" customHeight="1">
      <c r="A142" s="181">
        <f t="shared" si="58"/>
        <v>45292</v>
      </c>
      <c r="B142" s="492"/>
      <c r="C142" s="490"/>
      <c r="D142" s="524"/>
      <c r="E142" s="194" t="e">
        <f>DATE(YEAR(E141),MONTH(E141)+3,DAY(E141)-1)</f>
        <v>#NUM!</v>
      </c>
      <c r="F142" s="195" t="e">
        <f t="shared" si="59"/>
        <v>#NUM!</v>
      </c>
      <c r="G142" s="196" t="e">
        <f t="shared" si="60"/>
        <v>#NUM!</v>
      </c>
      <c r="H142" s="195" t="e">
        <f t="shared" si="61"/>
        <v>#NUM!</v>
      </c>
      <c r="I142" s="244">
        <v>-1</v>
      </c>
      <c r="J142" s="198" t="e">
        <f>F141-F140</f>
        <v>#NUM!</v>
      </c>
      <c r="K142" s="501" t="str">
        <f t="shared" ref="K142:K205" si="62">K140</f>
        <v>+Inflat.-P</v>
      </c>
      <c r="L142" s="511" t="e">
        <f>IF(M139="Stufe A",IF(AND(L140="Auswahl treffen",D141&gt;=0,D141&lt;=1000),J139,IF(AND(L140="Vermögend und ambulant",D141&gt;8,D141&lt;=1000),130,IF(AND(L140="Vermögend und ambulant",D141&gt;4,D141&lt;=8),158,IF(AND(L140="Vermögend und ambulant",D141&gt;2,D141&lt;=4),192,IF(AND(L140="Vermögend und ambulant",D141&gt;1,D141&lt;=2),208,IF(AND(L140="Vermögend und ambulant",D141&gt;0,D141&lt;=1),298,IF(AND(L140="Vermögend und stationär",D141&gt;8,D141&lt;=1000),78,IF(AND(L140="Vermögend und stationär",D141&gt;4,D141&lt;=8),91,IF(AND(L140="Vermögend und stationär",D141&gt;2,D141&lt;=4),140,IF(AND(L140="Vermögend und stationär",D141&gt;1,D141&lt;=2),158,IF(AND(L140="Vermögend und stationär",D141&gt;0,D141&lt;=1),200,IF(AND(L140="Mittellos und ambulant",D141&gt;8,D141&lt;=1000),105,IF(AND(L140="Mittellos und ambulant",D141&gt;4,D141&lt;=8),122,IF(AND(L140="Mittellos und ambulant",D141&gt;2,D141&lt;=4),151,IF(AND(L140="Mittellos und ambulant",D141&gt;1,D141&lt;=2),170,IF(AND(L140="Mittellos und ambulant",D141&gt;0,D141&lt;=1),208,IF(AND(L140="Mittellos und stationär",D141&gt;8,D141&lt;=1000),62,IF(AND(L140="Mittellos und stationär",D141&gt;4,D141&lt;=8),87,IF(AND(L140="Mittellos und stationär",D141&gt;2,D141&lt;=4),124,IF(AND(L140="Mittellos und stationär",D141&gt;1,D141&lt;=2),129,IF(AND(L140="Mittellos und stationär",D141&gt;0,D141&lt;=1),194,""))))))))))))))))))))),IF(M139="Stufe B",IF(AND(L140="Auswahl treffen",D141&gt;=0,D141&lt;=1000),J139,IF(AND(L140="Vermögend und ambulant",D141&gt;8,D141&lt;=1000),161,IF(AND(L140="Vermögend und ambulant",D141&gt;4,D141&lt;=8),196,IF(AND(L140="Vermögend und ambulant",D141&gt;2,D141&lt;=4),238,IF(AND(L140="Vermögend und ambulant",D141&gt;1,D141&lt;=2),258,IF(AND(L140="Vermögend und ambulant",D141&gt;0,D141&lt;=1),370,IF(AND(L140="Vermögend und stationär",D141&gt;8,D141&lt;=1000),96,IF(AND(L140="Vermögend und stationär",D141&gt;4,D141&lt;=8),113,IF(AND(L140="Vermögend und stationär",D141&gt;2,D141&lt;=4),174,IF(AND(L140="Vermögend und stationär",D141&gt;1,D141&lt;=2),196,IF(AND(L140="Vermögend und stationär",D141&gt;0,D141&lt;=1),249,IF(AND(L140="Mittellos und ambulant",D141&gt;8,D141&lt;=1000),130,IF(AND(L140="Mittellos und ambulant",D141&gt;4,D141&lt;=8),151,IF(AND(L140="Mittellos und ambulant",D141&gt;2,D141&lt;=4),188,IF(AND(L140="Mittellos und ambulant",D141&gt;1,D141&lt;=2),211,IF(AND(L140="Mittellos und ambulant",D141&gt;0,D141&lt;=1),258,IF(AND(L140="Mittellos und stationär",D141&gt;8,D141&lt;=1000),78,IF(AND(L140="Mittellos und stationär",D141&gt;4,D141&lt;=8),107,IF(AND(L140="Mittellos und stationär",D141&gt;2,D141&lt;=4),154,IF(AND(L140="Mittellos und stationär",D141&gt;1,D141&lt;=2),158,IF(AND(L140="Mittellos und stationär",D141&gt;0,D141&lt;=1),241,""))))))))))))))))))))),IF(M139="Stufe C",IF(AND(L140="Auswahl treffen",D141&gt;=0,D141&lt;=1000),J139,IF(AND(L140="Vermögend und ambulant",D141&gt;8,D141&lt;=1000),211,IF(AND(L140="Vermögend und ambulant",D141&gt;4,D141&lt;=8),257,IF(AND(L140="Vermögend und ambulant",D141&gt;2,D141&lt;=4),312,IF(AND(L140="Vermögend und ambulant",D141&gt;1,D141&lt;=2),339,IF(AND(L140="Vermögend und ambulant",D141&gt;0,D141&lt;=1),486,IF(AND(L140="Vermögend und stationär",D141&gt;8,D141&lt;=1000),127,IF(AND(L140="Vermögend und stationär",D141&gt;4,D141&lt;=8),149,IF(AND(L140="Vermögend und stationär",D141&gt;2,D141&lt;=4),229,IF(AND(L140="Vermögend und stationär",D141&gt;1,D141&lt;=2),257,IF(AND(L140="Vermögend und stationär",D141&gt;0,D141&lt;=1),327,IF(AND(L140="Mittellos und ambulant",D141&gt;8,D141&lt;=1000),171,IF(AND(L140="Mittellos und ambulant",D141&gt;4,D141&lt;=8),198,IF(AND(L140="Mittellos und ambulant",D141&gt;2,D141&lt;=4),246,IF(AND(L140="Mittellos und ambulant",D141&gt;1,D141&lt;=2),277,IF(AND(L140="Mittellos und ambulant",D141&gt;0,D141&lt;=1),339,IF(AND(L140="Mittellos und stationär",D141&gt;8,D141&lt;=1000),102,IF(AND(L140="Mittellos und stationär",D141&gt;4,D141&lt;=8),141,IF(AND(L140="Mittellos und stationär",D141&gt;2,D141&lt;=4),202,IF(AND(L140="Mittellos und stationär",D141&gt;1,D141&lt;=2),208,IF(AND(L140="Mittellos und stationär",D141&gt;0,D141&lt;=1),317,""))))))))))))))))))))),"")))*3+(J139*90)</f>
        <v>#NUM!</v>
      </c>
      <c r="M142" s="507" t="str">
        <f>CONCATENATE(K142, K141)</f>
        <v>+Inflat.-P</v>
      </c>
      <c r="N142" s="206" t="s">
        <v>118</v>
      </c>
      <c r="O142" s="207"/>
      <c r="P142" s="207"/>
      <c r="Q142" s="208"/>
      <c r="R142" s="187"/>
      <c r="S142" s="209" t="s">
        <v>118</v>
      </c>
      <c r="T142" s="201" t="s">
        <v>117</v>
      </c>
      <c r="U142" s="210" t="s">
        <v>26</v>
      </c>
      <c r="V142" s="192"/>
      <c r="W142" s="203"/>
      <c r="X142" s="203"/>
      <c r="Y142" s="210"/>
      <c r="Z142" s="192"/>
      <c r="AA142" s="203"/>
      <c r="AB142" s="203"/>
      <c r="AC142" s="210"/>
      <c r="AD142" s="192"/>
      <c r="AE142" s="203"/>
      <c r="AF142" s="203"/>
      <c r="AG142" s="210"/>
      <c r="AH142" s="193"/>
      <c r="AI142" s="203"/>
      <c r="AJ142" s="203"/>
      <c r="AK142" s="376"/>
      <c r="AL142" s="348" t="s">
        <v>148</v>
      </c>
      <c r="AM142" s="354">
        <f>IF(SUM(N140:N148)=SUM(S140:S148), 0, SUM(N140:N148)-SUM(S140:S148))</f>
        <v>0</v>
      </c>
      <c r="AN142" s="354"/>
      <c r="AO142" s="354"/>
      <c r="AP142" s="354"/>
      <c r="AQ142" s="350">
        <f>AM142+AN142+AO142+AP142</f>
        <v>0</v>
      </c>
      <c r="AR142" s="769"/>
      <c r="AS142" s="769"/>
      <c r="AT142" s="769"/>
      <c r="AW142"/>
      <c r="AX142"/>
      <c r="AY142" s="280"/>
      <c r="AZ142"/>
      <c r="BA142"/>
      <c r="BB142"/>
      <c r="BC142"/>
      <c r="BD142"/>
      <c r="BE142"/>
      <c r="BF142"/>
      <c r="BG142" s="280"/>
      <c r="BH142"/>
      <c r="BI142"/>
      <c r="BJ142"/>
      <c r="BK142"/>
      <c r="BL142"/>
      <c r="BM142"/>
      <c r="BN142"/>
      <c r="BO142"/>
      <c r="BS142" s="335"/>
      <c r="BT142" s="335"/>
      <c r="BU142" s="335"/>
      <c r="BV142" s="335"/>
      <c r="BW142" s="335"/>
      <c r="BX142" s="335"/>
      <c r="BY142" s="335"/>
      <c r="BZ142" s="335"/>
      <c r="CA142" s="335"/>
      <c r="CB142" s="335"/>
      <c r="CC142" s="335"/>
      <c r="CD142" s="335"/>
      <c r="CE142" s="335"/>
      <c r="CF142" s="335"/>
      <c r="CG142" s="335"/>
      <c r="CH142" s="335"/>
      <c r="CI142" s="335"/>
    </row>
    <row r="143" spans="1:87" ht="22.25" customHeight="1">
      <c r="A143" s="181">
        <f t="shared" si="58"/>
        <v>45292</v>
      </c>
      <c r="B143" s="491" t="e">
        <f>MONTH(I140)</f>
        <v>#NUM!</v>
      </c>
      <c r="C143" s="489" t="s">
        <v>158</v>
      </c>
      <c r="D143" s="525" t="e">
        <f>D141+1</f>
        <v>#NUM!</v>
      </c>
      <c r="E143" s="211" t="e">
        <f>DATE(YEAR(E142),MONTH(E142),DAY(E142)+1)</f>
        <v>#NUM!</v>
      </c>
      <c r="F143" s="212" t="e">
        <f t="shared" si="59"/>
        <v>#NUM!</v>
      </c>
      <c r="G143" s="213" t="e">
        <f t="shared" si="60"/>
        <v>#NUM!</v>
      </c>
      <c r="H143" s="212" t="e">
        <f t="shared" si="61"/>
        <v>#NUM!</v>
      </c>
      <c r="I143" s="214" t="str">
        <f>IF(D140&lt;&gt;0,"-1T","")</f>
        <v/>
      </c>
      <c r="J143" s="215" t="e">
        <f>DATE($B145,I144,$B141)</f>
        <v>#NUM!</v>
      </c>
      <c r="K143" s="506" t="str">
        <f t="shared" si="62"/>
        <v/>
      </c>
      <c r="L143" s="470"/>
      <c r="M143" s="473" t="e">
        <f ca="1">SUM(J140-E144)&amp;" Tage"</f>
        <v>#NUM!</v>
      </c>
      <c r="N143" s="216"/>
      <c r="O143" s="217"/>
      <c r="P143" s="188"/>
      <c r="Q143" s="217"/>
      <c r="R143" s="189"/>
      <c r="S143" s="190"/>
      <c r="T143" s="190"/>
      <c r="U143" s="191"/>
      <c r="V143" s="192"/>
      <c r="W143" s="190"/>
      <c r="X143" s="190"/>
      <c r="Y143" s="191"/>
      <c r="Z143" s="192"/>
      <c r="AA143" s="190"/>
      <c r="AB143" s="190"/>
      <c r="AC143" s="191"/>
      <c r="AD143" s="192"/>
      <c r="AE143" s="190"/>
      <c r="AF143" s="190"/>
      <c r="AG143" s="191"/>
      <c r="AH143" s="193"/>
      <c r="AI143" s="190"/>
      <c r="AJ143" s="190"/>
      <c r="AK143" s="374"/>
      <c r="AL143" s="348"/>
      <c r="AM143" s="354"/>
      <c r="AN143" s="354"/>
      <c r="AO143" s="354"/>
      <c r="AP143" s="354"/>
      <c r="AQ143" s="350"/>
      <c r="AR143" s="769"/>
      <c r="AS143" s="769"/>
      <c r="AT143" s="769"/>
      <c r="AW143"/>
      <c r="AX143"/>
      <c r="AY143" s="280"/>
      <c r="AZ143"/>
      <c r="BA143"/>
      <c r="BB143"/>
      <c r="BC143"/>
      <c r="BD143"/>
      <c r="BE143"/>
      <c r="BF143"/>
      <c r="BG143" s="280"/>
      <c r="BH143"/>
      <c r="BI143"/>
      <c r="BJ143"/>
      <c r="BK143"/>
      <c r="BL143"/>
      <c r="BM143"/>
      <c r="BN143"/>
      <c r="BO143"/>
      <c r="BS143" s="335"/>
      <c r="BT143" s="335"/>
      <c r="BU143" s="335"/>
      <c r="BV143" s="335"/>
      <c r="BW143" s="335"/>
      <c r="BX143" s="335"/>
      <c r="BY143" s="335"/>
      <c r="BZ143" s="335"/>
      <c r="CA143" s="335"/>
      <c r="CB143" s="335"/>
      <c r="CC143" s="335"/>
      <c r="CD143" s="335"/>
      <c r="CE143" s="335"/>
      <c r="CF143" s="335"/>
      <c r="CG143" s="335"/>
      <c r="CH143" s="335"/>
      <c r="CI143" s="335"/>
    </row>
    <row r="144" spans="1:87" ht="22.25" customHeight="1">
      <c r="A144" s="181">
        <f t="shared" si="58"/>
        <v>45292</v>
      </c>
      <c r="B144" s="492"/>
      <c r="C144" s="490"/>
      <c r="D144" s="526"/>
      <c r="E144" s="218" t="e">
        <f>DATE(YEAR(E143),MONTH(E143)+3,DAY(E143)-1)</f>
        <v>#NUM!</v>
      </c>
      <c r="F144" s="212" t="e">
        <f t="shared" si="59"/>
        <v>#NUM!</v>
      </c>
      <c r="G144" s="213" t="e">
        <f t="shared" si="60"/>
        <v>#NUM!</v>
      </c>
      <c r="H144" s="212" t="e">
        <f t="shared" si="61"/>
        <v>#NUM!</v>
      </c>
      <c r="I144" s="219">
        <f>MAX(I145:I148)</f>
        <v>9</v>
      </c>
      <c r="J144" s="220" t="e">
        <f>DATE(YEAR(J143)+1,MONTH(J143),DAY(J143))</f>
        <v>#NUM!</v>
      </c>
      <c r="K144" s="501" t="str">
        <f t="shared" si="62"/>
        <v>+Inflat.-P</v>
      </c>
      <c r="L144" s="508" t="e">
        <f>IF(M139="Stufe A",IF(AND(L140="Auswahl treffen",D143&gt;=0,D143&lt;=1000),J139,IF(AND(L140="Vermögend und ambulant",D143&gt;8,D143&lt;=1000),130,IF(AND(L140="Vermögend und ambulant",D143&gt;4,D143&lt;=8),158,IF(AND(L140="Vermögend und ambulant",D143&gt;2,D143&lt;=4),192,IF(AND(L140="Vermögend und ambulant",D143&gt;1,D143&lt;=2),208,IF(AND(L140="Vermögend und ambulant",D143&gt;0,D143&lt;=1),298,IF(AND(L140="Vermögend und stationär",D143&gt;8,D143&lt;=1000),78,IF(AND(L140="Vermögend und stationär",D143&gt;4,D143&lt;=8),91,IF(AND(L140="Vermögend und stationär",D143&gt;2,D143&lt;=4),140,IF(AND(L140="Vermögend und stationär",D143&gt;1,D143&lt;=2),158,IF(AND(L140="Vermögend und stationär",D143&gt;0,D143&lt;=1),200,IF(AND(L140="Mittellos und ambulant",D143&gt;8,D143&lt;=1000),105,IF(AND(L140="Mittellos und ambulant",D143&gt;4,D143&lt;=8),122,IF(AND(L140="Mittellos und ambulant",D143&gt;2,D143&lt;=4),151,IF(AND(L140="Mittellos und ambulant",D143&gt;1,D143&lt;=2),170,IF(AND(L140="Mittellos und ambulant",D143&gt;0,D143&lt;=1),208,IF(AND(L140="Mittellos und stationär",D143&gt;8,D143&lt;=1000),62,IF(AND(L140="Mittellos und stationär",D143&gt;4,D143&lt;=8),87,IF(AND(L140="Mittellos und stationär",D143&gt;2,D143&lt;=4),124,IF(AND(L140="Mittellos und stationär",D143&gt;1,D143&lt;=2),129,IF(AND(L140="Mittellos und stationär",D143&gt;0,D143&lt;=1),194,""))))))))))))))))))))),IF(M139="Stufe B",IF(AND(L140="Auswahl treffen",D143&gt;=0,D143&lt;=1000),J139,IF(AND(L140="Vermögend und ambulant",D143&gt;8,D143&lt;=1000),161,IF(AND(L140="Vermögend und ambulant",D143&gt;4,D143&lt;=8),196,IF(AND(L140="Vermögend und ambulant",D143&gt;2,D143&lt;=4),238,IF(AND(L140="Vermögend und ambulant",D143&gt;1,D143&lt;=2),258,IF(AND(L140="Vermögend und ambulant",D143&gt;0,D143&lt;=1),370,IF(AND(L140="Vermögend und stationär",D143&gt;8,D143&lt;=1000),96,IF(AND(L140="Vermögend und stationär",D143&gt;4,D143&lt;=8),113,IF(AND(L140="Vermögend und stationär",D143&gt;2,D143&lt;=4),174,IF(AND(L140="Vermögend und stationär",D143&gt;1,D143&lt;=2),196,IF(AND(L140="Vermögend und stationär",D143&gt;0,D143&lt;=1),249,IF(AND(L140="Mittellos und ambulant",D143&gt;8,D143&lt;=1000),130,IF(AND(L140="Mittellos und ambulant",D143&gt;4,D143&lt;=8),151,IF(AND(L140="Mittellos und ambulant",D143&gt;2,D143&lt;=4),188,IF(AND(L140="Mittellos und ambulant",D143&gt;1,D143&lt;=2),211,IF(AND(L140="Mittellos und ambulant",D143&gt;0,D143&lt;=1),258,IF(AND(L140="Mittellos und stationär",D143&gt;8,D143&lt;=1000),78,IF(AND(L140="Mittellos und stationär",D143&gt;4,D143&lt;=8),107,IF(AND(L140="Mittellos und stationär",D143&gt;2,D143&lt;=4),154,IF(AND(L140="Mittellos und stationär",D143&gt;1,D143&lt;=2),158,IF(AND(L140="Mittellos und stationär",D143&gt;0,D143&lt;=1),241,""))))))))))))))))))))),IF(M139="Stufe C",IF(AND(L140="Auswahl treffen",D143&gt;=0,D143&lt;=1000),J139,IF(AND(L140="Vermögend und ambulant",D143&gt;8,D143&lt;=1000),211,IF(AND(L140="Vermögend und ambulant",D143&gt;4,D143&lt;=8),257,IF(AND(L140="Vermögend und ambulant",D143&gt;2,D143&lt;=4),312,IF(AND(L140="Vermögend und ambulant",D143&gt;1,D143&lt;=2),339,IF(AND(L140="Vermögend und ambulant",D143&gt;0,D143&lt;=1),486,IF(AND(L140="Vermögend und stationär",D143&gt;8,D143&lt;=1000),127,IF(AND(L140="Vermögend und stationär",D143&gt;4,D143&lt;=8),149,IF(AND(L140="Vermögend und stationär",D143&gt;2,D143&lt;=4),229,IF(AND(L140="Vermögend und stationär",D143&gt;1,D143&lt;=2),257,IF(AND(L140="Vermögend und stationär",D143&gt;0,D143&lt;=1),327,IF(AND(L140="Mittellos und ambulant",D143&gt;8,D143&lt;=1000),171,IF(AND(L140="Mittellos und ambulant",D143&gt;4,D143&lt;=8),198,IF(AND(L140="Mittellos und ambulant",D143&gt;2,D143&lt;=4),246,IF(AND(L140="Mittellos und ambulant",D143&gt;1,D143&lt;=2),277,IF(AND(L140="Mittellos und ambulant",D143&gt;0,D143&lt;=1),339,IF(AND(L140="Mittellos und stationär",D143&gt;8,D143&lt;=1000),102,IF(AND(L140="Mittellos und stationär",D143&gt;4,D143&lt;=8),141,IF(AND(L140="Mittellos und stationär",D143&gt;2,D143&lt;=4),202,IF(AND(L140="Mittellos und stationär",D143&gt;1,D143&lt;=2),208,IF(AND(L140="Mittellos und stationär",D143&gt;0,D143&lt;=1),317,""))))))))))))))))))))),"")))*3+(J139*90)</f>
        <v>#NUM!</v>
      </c>
      <c r="M144" s="507" t="str">
        <f>CONCATENATE(K144, K143)</f>
        <v>+Inflat.-P</v>
      </c>
      <c r="N144" s="216"/>
      <c r="O144" s="188" t="s">
        <v>118</v>
      </c>
      <c r="P144" s="188"/>
      <c r="Q144" s="221"/>
      <c r="R144" s="199"/>
      <c r="S144" s="190"/>
      <c r="T144" s="190"/>
      <c r="U144" s="191"/>
      <c r="V144" s="192"/>
      <c r="W144" s="222" t="s">
        <v>118</v>
      </c>
      <c r="X144" s="222" t="s">
        <v>117</v>
      </c>
      <c r="Y144" s="191" t="s">
        <v>26</v>
      </c>
      <c r="Z144" s="192"/>
      <c r="AA144" s="190"/>
      <c r="AB144" s="190"/>
      <c r="AC144" s="191"/>
      <c r="AD144" s="192"/>
      <c r="AE144" s="190"/>
      <c r="AF144" s="190"/>
      <c r="AG144" s="191"/>
      <c r="AH144" s="193"/>
      <c r="AI144" s="190"/>
      <c r="AJ144" s="190"/>
      <c r="AK144" s="374"/>
      <c r="AL144" s="348" t="s">
        <v>149</v>
      </c>
      <c r="AM144" s="354"/>
      <c r="AN144" s="354">
        <f>IF(SUM(O140:O148)=SUM(W140:W148), 0, SUM(O140:O148)-SUM(W140:W148))</f>
        <v>0</v>
      </c>
      <c r="AO144" s="354"/>
      <c r="AP144" s="354"/>
      <c r="AQ144" s="350">
        <f>AM144+AN144+AO144+AP144</f>
        <v>0</v>
      </c>
      <c r="AR144" s="769"/>
      <c r="AS144" s="769"/>
      <c r="AT144" s="769"/>
      <c r="AW144"/>
      <c r="AX144"/>
      <c r="AY144" s="280"/>
      <c r="AZ144"/>
      <c r="BA144"/>
      <c r="BB144"/>
      <c r="BC144"/>
      <c r="BD144"/>
      <c r="BE144"/>
      <c r="BF144"/>
      <c r="BG144" s="280"/>
      <c r="BH144"/>
      <c r="BI144"/>
      <c r="BJ144"/>
      <c r="BK144"/>
      <c r="BL144"/>
      <c r="BM144"/>
      <c r="BN144"/>
      <c r="BO144"/>
      <c r="BS144" s="335"/>
      <c r="BT144" s="335"/>
      <c r="BU144" s="335"/>
      <c r="BV144" s="335"/>
      <c r="BW144" s="335"/>
      <c r="BX144" s="335"/>
      <c r="BY144" s="335"/>
      <c r="BZ144" s="335"/>
      <c r="CA144" s="335"/>
      <c r="CB144" s="335"/>
      <c r="CC144" s="335"/>
      <c r="CD144" s="335"/>
      <c r="CE144" s="335"/>
      <c r="CF144" s="335"/>
      <c r="CG144" s="335"/>
      <c r="CH144" s="335"/>
      <c r="CI144" s="335"/>
    </row>
    <row r="145" spans="1:87" ht="22.25" customHeight="1">
      <c r="A145" s="181">
        <f t="shared" si="58"/>
        <v>45292</v>
      </c>
      <c r="B145" s="491">
        <f>YEAR($A146)-1</f>
        <v>2023</v>
      </c>
      <c r="C145" s="489" t="s">
        <v>158</v>
      </c>
      <c r="D145" s="523" t="e">
        <f>D143+1</f>
        <v>#NUM!</v>
      </c>
      <c r="E145" s="194" t="e">
        <f>DATE(YEAR(E144),MONTH(E144),DAY(E144)+1)</f>
        <v>#NUM!</v>
      </c>
      <c r="F145" s="195" t="e">
        <f t="shared" si="59"/>
        <v>#NUM!</v>
      </c>
      <c r="G145" s="196" t="e">
        <f t="shared" si="60"/>
        <v>#NUM!</v>
      </c>
      <c r="H145" s="195" t="e">
        <f t="shared" si="61"/>
        <v>#NUM!</v>
      </c>
      <c r="I145" s="197">
        <f>IF(J147&lt;13,J147,"")</f>
        <v>9</v>
      </c>
      <c r="J145" s="224">
        <f>G140</f>
        <v>0</v>
      </c>
      <c r="K145" s="501" t="str">
        <f t="shared" si="62"/>
        <v/>
      </c>
      <c r="L145" s="471"/>
      <c r="M145" s="473" t="e">
        <f ca="1">SUM(J140-E146)&amp;" Tage"</f>
        <v>#NUM!</v>
      </c>
      <c r="N145" s="200"/>
      <c r="O145" s="201"/>
      <c r="P145" s="201"/>
      <c r="Q145" s="202"/>
      <c r="R145" s="189"/>
      <c r="S145" s="203"/>
      <c r="T145" s="203"/>
      <c r="U145" s="204"/>
      <c r="V145" s="192"/>
      <c r="W145" s="203"/>
      <c r="X145" s="203"/>
      <c r="Y145" s="204"/>
      <c r="Z145" s="192"/>
      <c r="AA145" s="203"/>
      <c r="AB145" s="203"/>
      <c r="AC145" s="204"/>
      <c r="AD145" s="192"/>
      <c r="AE145" s="203"/>
      <c r="AF145" s="203"/>
      <c r="AG145" s="204"/>
      <c r="AH145" s="193"/>
      <c r="AI145" s="203"/>
      <c r="AJ145" s="203"/>
      <c r="AK145" s="375"/>
      <c r="AL145" s="348"/>
      <c r="AM145" s="354"/>
      <c r="AN145" s="354"/>
      <c r="AO145" s="354"/>
      <c r="AP145" s="354"/>
      <c r="AQ145" s="350"/>
      <c r="AR145" s="769"/>
      <c r="AS145" s="769"/>
      <c r="AT145" s="769"/>
      <c r="AW145"/>
      <c r="AX145"/>
      <c r="AY145" s="280"/>
      <c r="AZ145"/>
      <c r="BA145"/>
      <c r="BB145"/>
      <c r="BC145"/>
      <c r="BD145"/>
      <c r="BE145"/>
      <c r="BF145"/>
      <c r="BG145" s="280"/>
      <c r="BH145"/>
      <c r="BI145"/>
      <c r="BJ145"/>
      <c r="BK145"/>
      <c r="BL145"/>
      <c r="BM145"/>
      <c r="BN145"/>
      <c r="BO145"/>
      <c r="BS145" s="335"/>
      <c r="BT145" s="335"/>
      <c r="BU145" s="335"/>
      <c r="BV145" s="335"/>
      <c r="BW145" s="335"/>
      <c r="BX145" s="335"/>
      <c r="BY145" s="335"/>
      <c r="BZ145" s="335"/>
      <c r="CA145" s="335"/>
      <c r="CB145" s="335"/>
      <c r="CC145" s="335"/>
      <c r="CD145" s="335"/>
      <c r="CE145" s="335"/>
      <c r="CF145" s="335"/>
      <c r="CG145" s="335"/>
      <c r="CH145" s="335"/>
      <c r="CI145" s="335"/>
    </row>
    <row r="146" spans="1:87" ht="22.25" customHeight="1">
      <c r="A146" s="181">
        <f t="shared" si="58"/>
        <v>45292</v>
      </c>
      <c r="B146" s="492"/>
      <c r="C146" s="490"/>
      <c r="D146" s="524"/>
      <c r="E146" s="194" t="e">
        <f>DATE(YEAR(E145),MONTH(E145)+3,DAY(E145)-1)</f>
        <v>#NUM!</v>
      </c>
      <c r="F146" s="195" t="e">
        <f t="shared" si="59"/>
        <v>#NUM!</v>
      </c>
      <c r="G146" s="196" t="e">
        <f t="shared" si="60"/>
        <v>#NUM!</v>
      </c>
      <c r="H146" s="195" t="e">
        <f t="shared" si="61"/>
        <v>#NUM!</v>
      </c>
      <c r="I146" s="244">
        <f>IF(J148&lt;13,J148,"")</f>
        <v>6</v>
      </c>
      <c r="J146" s="224">
        <f>J145+3</f>
        <v>3</v>
      </c>
      <c r="K146" s="506" t="str">
        <f t="shared" si="62"/>
        <v>+Inflat.-P</v>
      </c>
      <c r="L146" s="511" t="e">
        <f>IF(M139="Stufe A",IF(AND(L140="Auswahl treffen",D145&gt;=0,D145&lt;=1000),J139,IF(AND(L140="Vermögend und ambulant",D145&gt;8,D145&lt;=1000),130,IF(AND(L140="Vermögend und ambulant",D145&gt;4,D145&lt;=8),158,IF(AND(L140="Vermögend und ambulant",D145&gt;2,D145&lt;=4),192,IF(AND(L140="Vermögend und ambulant",D145&gt;1,D145&lt;=2),208,IF(AND(L140="Vermögend und ambulant",D145&gt;0,D145&lt;=1),298,IF(AND(L140="Vermögend und stationär",D145&gt;8,D145&lt;=1000),78,IF(AND(L140="Vermögend und stationär",D145&gt;4,D145&lt;=8),91,IF(AND(L140="Vermögend und stationär",D145&gt;2,D145&lt;=4),140,IF(AND(L140="Vermögend und stationär",D145&gt;1,D145&lt;=2),158,IF(AND(L140="Vermögend und stationär",D145&gt;0,D145&lt;=1),200,IF(AND(L140="Mittellos und ambulant",D145&gt;8,D145&lt;=1000),105,IF(AND(L140="Mittellos und ambulant",D145&gt;4,D145&lt;=8),122,IF(AND(L140="Mittellos und ambulant",D145&gt;2,D145&lt;=4),151,IF(AND(L140="Mittellos und ambulant",D145&gt;1,D145&lt;=2),170,IF(AND(L140="Mittellos und ambulant",D145&gt;0,D145&lt;=1),208,IF(AND(L140="Mittellos und stationär",D145&gt;8,D145&lt;=1000),62,IF(AND(L140="Mittellos und stationär",D145&gt;4,D145&lt;=8),87,IF(AND(L140="Mittellos und stationär",D145&gt;2,D145&lt;=4),124,IF(AND(L140="Mittellos und stationär",D145&gt;1,D145&lt;=2),129,IF(AND(L140="Mittellos und stationär",D145&gt;0,D145&lt;=1),194,""))))))))))))))))))))),IF(M139="Stufe B",IF(AND(L140="Auswahl treffen",D145&gt;=0,D145&lt;=1000),J139,IF(AND(L140="Vermögend und ambulant",D145&gt;8,D145&lt;=1000),161,IF(AND(L140="Vermögend und ambulant",D145&gt;4,D145&lt;=8),196,IF(AND(L140="Vermögend und ambulant",D145&gt;2,D145&lt;=4),238,IF(AND(L140="Vermögend und ambulant",D145&gt;1,D145&lt;=2),258,IF(AND(L140="Vermögend und ambulant",D145&gt;0,D145&lt;=1),370,IF(AND(L140="Vermögend und stationär",D145&gt;8,D145&lt;=1000),96,IF(AND(L140="Vermögend und stationär",D145&gt;4,D145&lt;=8),113,IF(AND(L140="Vermögend und stationär",D145&gt;2,D145&lt;=4),174,IF(AND(L140="Vermögend und stationär",D145&gt;1,D145&lt;=2),196,IF(AND(L140="Vermögend und stationär",D145&gt;0,D145&lt;=1),249,IF(AND(L140="Mittellos und ambulant",D145&gt;8,D145&lt;=1000),130,IF(AND(L140="Mittellos und ambulant",D145&gt;4,D145&lt;=8),151,IF(AND(L140="Mittellos und ambulant",D145&gt;2,D145&lt;=4),188,IF(AND(L140="Mittellos und ambulant",D145&gt;1,D145&lt;=2),211,IF(AND(L140="Mittellos und ambulant",D145&gt;0,D145&lt;=1),258,IF(AND(L140="Mittellos und stationär",D145&gt;8,D145&lt;=1000),78,IF(AND(L140="Mittellos und stationär",D145&gt;4,D145&lt;=8),107,IF(AND(L140="Mittellos und stationär",D145&gt;2,D145&lt;=4),154,IF(AND(L140="Mittellos und stationär",D145&gt;1,D145&lt;=2),158,IF(AND(L140="Mittellos und stationär",D145&gt;0,D145&lt;=1),241,""))))))))))))))))))))),IF(M139="Stufe C",IF(AND(L140="Auswahl treffen",D145&gt;=0,D145&lt;=1000),J139,IF(AND(L140="Vermögend und ambulant",D145&gt;8,D145&lt;=1000),211,IF(AND(L140="Vermögend und ambulant",D145&gt;4,D145&lt;=8),257,IF(AND(L140="Vermögend und ambulant",D145&gt;2,D145&lt;=4),312,IF(AND(L140="Vermögend und ambulant",D145&gt;1,D145&lt;=2),339,IF(AND(L140="Vermögend und ambulant",D145&gt;0,D145&lt;=1),486,IF(AND(L140="Vermögend und stationär",D145&gt;8,D145&lt;=1000),127,IF(AND(L140="Vermögend und stationär",D145&gt;4,D145&lt;=8),149,IF(AND(L140="Vermögend und stationär",D145&gt;2,D145&lt;=4),229,IF(AND(L140="Vermögend und stationär",D145&gt;1,D145&lt;=2),257,IF(AND(L140="Vermögend und stationär",D145&gt;0,D145&lt;=1),327,IF(AND(L140="Mittellos und ambulant",D145&gt;8,D145&lt;=1000),171,IF(AND(L140="Mittellos und ambulant",D145&gt;4,D145&lt;=8),198,IF(AND(L140="Mittellos und ambulant",D145&gt;2,D145&lt;=4),246,IF(AND(L140="Mittellos und ambulant",D145&gt;1,D145&lt;=2),277,IF(AND(L140="Mittellos und ambulant",D145&gt;0,D145&lt;=1),339,IF(AND(L140="Mittellos und stationär",D145&gt;8,D145&lt;=1000),102,IF(AND(L140="Mittellos und stationär",D145&gt;4,D145&lt;=8),141,IF(AND(L140="Mittellos und stationär",D145&gt;2,D145&lt;=4),202,IF(AND(L140="Mittellos und stationär",D145&gt;1,D145&lt;=2),208,IF(AND(L140="Mittellos und stationär",D145&gt;0,D145&lt;=1),317,""))))))))))))))))))))),"")))*3+(J139*90)</f>
        <v>#NUM!</v>
      </c>
      <c r="M146" s="507" t="str">
        <f>CONCATENATE(K146, K145)</f>
        <v>+Inflat.-P</v>
      </c>
      <c r="N146" s="206"/>
      <c r="O146" s="207"/>
      <c r="P146" s="206" t="s">
        <v>118</v>
      </c>
      <c r="Q146" s="226"/>
      <c r="R146" s="189"/>
      <c r="S146" s="203"/>
      <c r="T146" s="203"/>
      <c r="U146" s="204"/>
      <c r="V146" s="192"/>
      <c r="W146" s="203"/>
      <c r="X146" s="203"/>
      <c r="Y146" s="204"/>
      <c r="Z146" s="192"/>
      <c r="AA146" s="209" t="s">
        <v>118</v>
      </c>
      <c r="AB146" s="209" t="s">
        <v>117</v>
      </c>
      <c r="AC146" s="204" t="s">
        <v>26</v>
      </c>
      <c r="AD146" s="192"/>
      <c r="AE146" s="203"/>
      <c r="AF146" s="203"/>
      <c r="AG146" s="204"/>
      <c r="AH146" s="193"/>
      <c r="AI146" s="203"/>
      <c r="AJ146" s="203"/>
      <c r="AK146" s="375"/>
      <c r="AL146" s="348" t="s">
        <v>150</v>
      </c>
      <c r="AM146" s="354"/>
      <c r="AN146" s="354"/>
      <c r="AO146" s="354">
        <f>IF(SUM(P140:P148)=SUM(AA140:AA148), 0, SUM(P140:P148)-SUM(AA140:AA148))</f>
        <v>0</v>
      </c>
      <c r="AP146" s="354"/>
      <c r="AQ146" s="350">
        <f>AM146+AN146+AO146+AP146</f>
        <v>0</v>
      </c>
      <c r="AR146" s="769"/>
      <c r="AS146" s="769"/>
      <c r="AT146" s="769"/>
      <c r="AW146"/>
      <c r="AX146"/>
      <c r="AY146" s="280"/>
      <c r="AZ146"/>
      <c r="BA146"/>
      <c r="BB146"/>
      <c r="BC146"/>
      <c r="BD146"/>
      <c r="BE146"/>
      <c r="BF146"/>
      <c r="BG146" s="280"/>
      <c r="BH146"/>
      <c r="BI146"/>
      <c r="BJ146"/>
      <c r="BK146"/>
      <c r="BL146"/>
      <c r="BM146"/>
      <c r="BN146"/>
      <c r="BO146"/>
      <c r="BS146" s="335"/>
      <c r="BT146" s="335"/>
      <c r="BU146" s="335"/>
      <c r="BV146" s="335"/>
      <c r="BW146" s="335"/>
      <c r="BX146" s="335"/>
      <c r="BY146" s="335"/>
      <c r="BZ146" s="335"/>
      <c r="CA146" s="335"/>
      <c r="CB146" s="335"/>
      <c r="CC146" s="335"/>
      <c r="CD146" s="335"/>
      <c r="CE146" s="335"/>
      <c r="CF146" s="335"/>
      <c r="CG146" s="335"/>
      <c r="CH146" s="335"/>
      <c r="CI146" s="335"/>
    </row>
    <row r="147" spans="1:87" ht="22.25" customHeight="1">
      <c r="A147" s="181">
        <f t="shared" si="58"/>
        <v>45292</v>
      </c>
      <c r="B147" s="493"/>
      <c r="C147" s="489" t="s">
        <v>158</v>
      </c>
      <c r="D147" s="525" t="e">
        <f>D145+1</f>
        <v>#NUM!</v>
      </c>
      <c r="E147" s="211" t="e">
        <f>DATE(YEAR(E146),MONTH(E146),DAY(E146)+1)</f>
        <v>#NUM!</v>
      </c>
      <c r="F147" s="227" t="e">
        <f t="shared" si="59"/>
        <v>#NUM!</v>
      </c>
      <c r="G147" s="228" t="e">
        <f t="shared" si="60"/>
        <v>#NUM!</v>
      </c>
      <c r="H147" s="227" t="e">
        <f t="shared" si="61"/>
        <v>#NUM!</v>
      </c>
      <c r="I147" s="231">
        <f>IF(J146&lt;13,J146,"")</f>
        <v>3</v>
      </c>
      <c r="J147" s="230">
        <f>J148+3</f>
        <v>9</v>
      </c>
      <c r="K147" s="501" t="str">
        <f t="shared" si="62"/>
        <v/>
      </c>
      <c r="L147" s="471"/>
      <c r="M147" s="473" t="e">
        <f ca="1">SUM(J140-E148)&amp;" Tage"</f>
        <v>#NUM!</v>
      </c>
      <c r="N147" s="216"/>
      <c r="O147" s="188"/>
      <c r="P147" s="188"/>
      <c r="Q147" s="217"/>
      <c r="R147" s="189"/>
      <c r="S147" s="190"/>
      <c r="T147" s="190"/>
      <c r="U147" s="191"/>
      <c r="V147" s="192"/>
      <c r="W147" s="190"/>
      <c r="X147" s="190"/>
      <c r="Y147" s="191"/>
      <c r="Z147" s="192"/>
      <c r="AA147" s="190"/>
      <c r="AB147" s="190"/>
      <c r="AC147" s="191"/>
      <c r="AD147" s="192"/>
      <c r="AE147" s="190"/>
      <c r="AF147" s="190"/>
      <c r="AG147" s="191"/>
      <c r="AH147" s="193"/>
      <c r="AI147" s="190"/>
      <c r="AJ147" s="190"/>
      <c r="AK147" s="374"/>
      <c r="AL147" s="348"/>
      <c r="AM147" s="354"/>
      <c r="AN147" s="354"/>
      <c r="AO147" s="354"/>
      <c r="AP147" s="354"/>
      <c r="AQ147" s="350"/>
      <c r="AR147" s="769"/>
      <c r="AS147" s="769"/>
      <c r="AT147" s="769"/>
      <c r="AW147"/>
      <c r="AX147"/>
      <c r="AY147" s="280"/>
      <c r="AZ147"/>
      <c r="BA147"/>
      <c r="BB147"/>
      <c r="BC147"/>
      <c r="BD147"/>
      <c r="BE147"/>
      <c r="BF147"/>
      <c r="BG147" s="280"/>
      <c r="BH147"/>
      <c r="BI147"/>
      <c r="BJ147"/>
      <c r="BK147"/>
      <c r="BL147"/>
      <c r="BM147"/>
      <c r="BN147"/>
      <c r="BO147"/>
      <c r="BS147" s="335"/>
      <c r="BT147" s="335"/>
      <c r="BU147" s="335"/>
      <c r="BV147" s="335"/>
      <c r="BW147" s="335"/>
      <c r="BX147" s="335"/>
      <c r="BY147" s="335"/>
      <c r="BZ147" s="335"/>
      <c r="CA147" s="335"/>
      <c r="CB147" s="335"/>
      <c r="CC147" s="335"/>
      <c r="CD147" s="335"/>
      <c r="CE147" s="335"/>
      <c r="CF147" s="335"/>
      <c r="CG147" s="335"/>
      <c r="CH147" s="335"/>
      <c r="CI147" s="335"/>
    </row>
    <row r="148" spans="1:87" ht="22.25" customHeight="1">
      <c r="A148" s="181">
        <f t="shared" si="58"/>
        <v>45292</v>
      </c>
      <c r="B148" s="494"/>
      <c r="C148" s="490"/>
      <c r="D148" s="526"/>
      <c r="E148" s="218" t="e">
        <f>DATE(YEAR(E147),MONTH(E147)+3,DAY(E147)-1)</f>
        <v>#NUM!</v>
      </c>
      <c r="F148" s="227" t="e">
        <f t="shared" si="59"/>
        <v>#NUM!</v>
      </c>
      <c r="G148" s="228" t="e">
        <f t="shared" si="60"/>
        <v>#NUM!</v>
      </c>
      <c r="H148" s="227" t="e">
        <f t="shared" si="61"/>
        <v>#NUM!</v>
      </c>
      <c r="I148" s="231">
        <f>IF(J145&lt;13,J145,"")</f>
        <v>0</v>
      </c>
      <c r="J148" s="230">
        <f>J146+3</f>
        <v>6</v>
      </c>
      <c r="K148" s="506" t="str">
        <f t="shared" si="62"/>
        <v>+Inflat.-P</v>
      </c>
      <c r="L148" s="508" t="e">
        <f>IF(M139="Stufe A",IF(AND(L140="Auswahl treffen",D147&gt;=0,D147&lt;=1000),J139,IF(AND(L140="Vermögend und ambulant",D147&gt;8,D147&lt;=1000),130,IF(AND(L140="Vermögend und ambulant",D147&gt;4,D147&lt;=8),158,IF(AND(L140="Vermögend und ambulant",D147&gt;2,D147&lt;=4),192,IF(AND(L140="Vermögend und ambulant",D147&gt;1,D147&lt;=2),208,IF(AND(L140="Vermögend und ambulant",D147&gt;0,D147&lt;=1),298,IF(AND(L140="Vermögend und stationär",D147&gt;8,D147&lt;=1000),78,IF(AND(L140="Vermögend und stationär",D147&gt;4,D147&lt;=8),91,IF(AND(L140="Vermögend und stationär",D147&gt;2,D147&lt;=4),140,IF(AND(L140="Vermögend und stationär",D147&gt;1,D147&lt;=2),158,IF(AND(L140="Vermögend und stationär",D147&gt;0,D147&lt;=1),200,IF(AND(L140="Mittellos und ambulant",D147&gt;8,D147&lt;=1000),105,IF(AND(L140="Mittellos und ambulant",D147&gt;4,D147&lt;=8),122,IF(AND(L140="Mittellos und ambulant",D147&gt;2,D147&lt;=4),151,IF(AND(L140="Mittellos und ambulant",D147&gt;1,D147&lt;=2),170,IF(AND(L140="Mittellos und ambulant",D147&gt;0,D147&lt;=1),208,IF(AND(L140="Mittellos und stationär",D147&gt;8,D147&lt;=1000),62,IF(AND(L140="Mittellos und stationär",D147&gt;4,D147&lt;=8),87,IF(AND(L140="Mittellos und stationär",D147&gt;2,D147&lt;=4),124,IF(AND(L140="Mittellos und stationär",D147&gt;1,D147&lt;=2),129,IF(AND(L140="Mittellos und stationär",D147&gt;0,D147&lt;=1),194,""))))))))))))))))))))),IF(M139="Stufe B",IF(AND(L140="Auswahl treffen",D147&gt;=0,D147&lt;=1000),J139,IF(AND(L140="Vermögend und ambulant",D147&gt;8,D147&lt;=1000),161,IF(AND(L140="Vermögend und ambulant",D147&gt;4,D147&lt;=8),196,IF(AND(L140="Vermögend und ambulant",D147&gt;2,D147&lt;=4),238,IF(AND(L140="Vermögend und ambulant",D147&gt;1,D147&lt;=2),258,IF(AND(L140="Vermögend und ambulant",D147&gt;0,D147&lt;=1),370,IF(AND(L140="Vermögend und stationär",D147&gt;8,D147&lt;=1000),96,IF(AND(L140="Vermögend und stationär",D147&gt;4,D147&lt;=8),113,IF(AND(L140="Vermögend und stationär",D147&gt;2,D147&lt;=4),174,IF(AND(L140="Vermögend und stationär",D147&gt;1,D147&lt;=2),196,IF(AND(L140="Vermögend und stationär",D147&gt;0,D147&lt;=1),249,IF(AND(L140="Mittellos und ambulant",D147&gt;8,D147&lt;=1000),130,IF(AND(L140="Mittellos und ambulant",D147&gt;4,D147&lt;=8),151,IF(AND(L140="Mittellos und ambulant",D147&gt;2,D147&lt;=4),188,IF(AND(L140="Mittellos und ambulant",D147&gt;1,D147&lt;=2),211,IF(AND(L140="Mittellos und ambulant",D147&gt;0,D147&lt;=1),258,IF(AND(L140="Mittellos und stationär",D147&gt;8,D147&lt;=1000),78,IF(AND(L140="Mittellos und stationär",D147&gt;4,D147&lt;=8),107,IF(AND(L140="Mittellos und stationär",D147&gt;2,D147&lt;=4),154,IF(AND(L140="Mittellos und stationär",D147&gt;1,D147&lt;=2),158,IF(AND(L140="Mittellos und stationär",D147&gt;0,D147&lt;=1),241,""))))))))))))))))))))),IF(M139="Stufe C",IF(AND(L140="Auswahl treffen",D147&gt;=0,D147&lt;=1000),J139,IF(AND(L140="Vermögend und ambulant",D147&gt;8,D147&lt;=1000),211,IF(AND(L140="Vermögend und ambulant",D147&gt;4,D147&lt;=8),257,IF(AND(L140="Vermögend und ambulant",D147&gt;2,D147&lt;=4),312,IF(AND(L140="Vermögend und ambulant",D147&gt;1,D147&lt;=2),339,IF(AND(L140="Vermögend und ambulant",D147&gt;0,D147&lt;=1),486,IF(AND(L140="Vermögend und stationär",D147&gt;8,D147&lt;=1000),127,IF(AND(L140="Vermögend und stationär",D147&gt;4,D147&lt;=8),149,IF(AND(L140="Vermögend und stationär",D147&gt;2,D147&lt;=4),229,IF(AND(L140="Vermögend und stationär",D147&gt;1,D147&lt;=2),257,IF(AND(L140="Vermögend und stationär",D147&gt;0,D147&lt;=1),327,IF(AND(L140="Mittellos und ambulant",D147&gt;8,D147&lt;=1000),171,IF(AND(L140="Mittellos und ambulant",D147&gt;4,D147&lt;=8),198,IF(AND(L140="Mittellos und ambulant",D147&gt;2,D147&lt;=4),246,IF(AND(L140="Mittellos und ambulant",D147&gt;1,D147&lt;=2),277,IF(AND(L140="Mittellos und ambulant",D147&gt;0,D147&lt;=1),339,IF(AND(L140="Mittellos und stationär",D147&gt;8,D147&lt;=1000),102,IF(AND(L140="Mittellos und stationär",D147&gt;4,D147&lt;=8),141,IF(AND(L140="Mittellos und stationär",D147&gt;2,D147&lt;=4),202,IF(AND(L140="Mittellos und stationär",D147&gt;1,D147&lt;=2),208,IF(AND(L140="Mittellos und stationär",D147&gt;0,D147&lt;=1),317,""))))))))))))))))))))),"")))*3+(J139*90)</f>
        <v>#NUM!</v>
      </c>
      <c r="M148" s="507" t="str">
        <f>CONCATENATE(K148, K147)</f>
        <v>+Inflat.-P</v>
      </c>
      <c r="N148" s="216"/>
      <c r="O148" s="188"/>
      <c r="P148" s="188"/>
      <c r="Q148" s="217" t="s">
        <v>118</v>
      </c>
      <c r="R148" s="189"/>
      <c r="S148" s="190"/>
      <c r="T148" s="190"/>
      <c r="U148" s="191"/>
      <c r="V148" s="192"/>
      <c r="W148" s="190"/>
      <c r="X148" s="190"/>
      <c r="Y148" s="191"/>
      <c r="Z148" s="192"/>
      <c r="AA148" s="190"/>
      <c r="AB148" s="190"/>
      <c r="AC148" s="191"/>
      <c r="AD148" s="192"/>
      <c r="AE148" s="190" t="s">
        <v>118</v>
      </c>
      <c r="AF148" s="190" t="s">
        <v>117</v>
      </c>
      <c r="AG148" s="191" t="s">
        <v>26</v>
      </c>
      <c r="AH148" s="193"/>
      <c r="AI148" s="190" t="s">
        <v>118</v>
      </c>
      <c r="AJ148" s="190" t="s">
        <v>117</v>
      </c>
      <c r="AK148" s="374" t="s">
        <v>26</v>
      </c>
      <c r="AL148" s="348" t="s">
        <v>151</v>
      </c>
      <c r="AM148" s="354"/>
      <c r="AN148" s="354"/>
      <c r="AO148" s="354"/>
      <c r="AP148" s="354">
        <f>IF(SUM(Q140:Q148)=SUM(AE140:AE148,AI140:AI148), 0, SUM(Q140:Q148)-SUM(AE140:AE148,AI140:AI148))</f>
        <v>0</v>
      </c>
      <c r="AQ148" s="350">
        <f>AM148+AN148+AO148+AP148</f>
        <v>0</v>
      </c>
      <c r="AR148" s="769"/>
      <c r="AS148" s="769"/>
      <c r="AT148" s="769"/>
      <c r="AW148"/>
      <c r="AX148"/>
      <c r="AY148" s="280"/>
      <c r="AZ148"/>
      <c r="BA148"/>
      <c r="BB148"/>
      <c r="BC148"/>
      <c r="BD148"/>
      <c r="BE148"/>
      <c r="BF148"/>
      <c r="BG148" s="280"/>
      <c r="BH148"/>
      <c r="BI148"/>
      <c r="BJ148"/>
      <c r="BK148"/>
      <c r="BL148"/>
      <c r="BM148"/>
      <c r="BN148"/>
      <c r="BO148"/>
      <c r="BS148" s="335"/>
      <c r="BT148" s="335"/>
      <c r="BU148" s="335"/>
      <c r="BV148" s="335"/>
      <c r="BW148" s="335"/>
      <c r="BX148" s="335"/>
      <c r="BY148" s="335"/>
      <c r="BZ148" s="335"/>
      <c r="CA148" s="335"/>
      <c r="CB148" s="335"/>
      <c r="CC148" s="335"/>
      <c r="CD148" s="335"/>
      <c r="CE148" s="335"/>
      <c r="CF148" s="335"/>
      <c r="CG148" s="335"/>
      <c r="CH148" s="335"/>
      <c r="CI148" s="335"/>
    </row>
    <row r="149" spans="1:87" ht="22" customHeight="1">
      <c r="A149" s="181">
        <f t="shared" si="58"/>
        <v>45292</v>
      </c>
      <c r="B149" s="232" t="s">
        <v>74</v>
      </c>
      <c r="C149" s="233" t="s">
        <v>75</v>
      </c>
      <c r="D149" s="234" t="s">
        <v>76</v>
      </c>
      <c r="E149" s="235" t="s">
        <v>11</v>
      </c>
      <c r="F149" s="235" t="s">
        <v>4</v>
      </c>
      <c r="G149" s="235" t="s">
        <v>5</v>
      </c>
      <c r="H149" s="235" t="s">
        <v>6</v>
      </c>
      <c r="I149" s="236" t="s">
        <v>77</v>
      </c>
      <c r="J149" s="306"/>
      <c r="K149" s="501" t="str">
        <f t="shared" si="62"/>
        <v/>
      </c>
      <c r="L149" s="306" t="str">
        <f>IFERROR(VLOOKUP(B150,'Aktuelle Einnahmen'!A2:J104,10,0),"")</f>
        <v/>
      </c>
      <c r="M149" s="510" t="str">
        <f>M139</f>
        <v>Stufe C</v>
      </c>
      <c r="N149" s="237"/>
      <c r="O149" s="238"/>
      <c r="P149" s="238"/>
      <c r="Q149" s="239"/>
      <c r="R149" s="240"/>
      <c r="S149" s="241"/>
      <c r="T149" s="241"/>
      <c r="U149" s="242"/>
      <c r="V149" s="243"/>
      <c r="W149" s="241"/>
      <c r="X149" s="241"/>
      <c r="Y149" s="242"/>
      <c r="Z149" s="243"/>
      <c r="AA149" s="241"/>
      <c r="AB149" s="241"/>
      <c r="AC149" s="242"/>
      <c r="AD149" s="243"/>
      <c r="AE149" s="241"/>
      <c r="AF149" s="241"/>
      <c r="AG149" s="242"/>
      <c r="AH149" s="240"/>
      <c r="AI149" s="241"/>
      <c r="AJ149" s="241"/>
      <c r="AK149" s="377"/>
      <c r="AL149" s="347"/>
      <c r="AM149" s="353"/>
      <c r="AN149" s="353"/>
      <c r="AO149" s="353"/>
      <c r="AP149" s="353"/>
      <c r="AQ149" s="349"/>
      <c r="AR149" s="768"/>
      <c r="AS149" s="768"/>
      <c r="AT149" s="768"/>
      <c r="AW149"/>
      <c r="AX149"/>
      <c r="AY149" s="280"/>
      <c r="AZ149"/>
      <c r="BA149"/>
      <c r="BB149"/>
      <c r="BC149"/>
      <c r="BD149"/>
      <c r="BE149"/>
      <c r="BF149"/>
      <c r="BG149" s="280"/>
      <c r="BH149"/>
      <c r="BI149"/>
      <c r="BJ149"/>
      <c r="BK149"/>
      <c r="BL149"/>
      <c r="BM149"/>
      <c r="BN149"/>
      <c r="BO149"/>
      <c r="BS149" s="335"/>
      <c r="BT149" s="335"/>
      <c r="BU149" s="335"/>
      <c r="BV149" s="335"/>
      <c r="BW149" s="335"/>
      <c r="BX149" s="335"/>
      <c r="BY149" s="335"/>
      <c r="BZ149" s="335"/>
      <c r="CA149" s="335"/>
      <c r="CB149" s="335"/>
      <c r="CC149" s="335"/>
      <c r="CD149" s="335"/>
      <c r="CE149" s="335"/>
      <c r="CF149" s="335"/>
      <c r="CG149" s="335"/>
      <c r="CH149" s="335"/>
      <c r="CI149" s="335"/>
    </row>
    <row r="150" spans="1:87" ht="23" customHeight="1">
      <c r="A150" s="181">
        <f t="shared" si="58"/>
        <v>45292</v>
      </c>
      <c r="B150" s="182">
        <v>15</v>
      </c>
      <c r="C150" s="245">
        <f>IFERROR(VLOOKUP($B150,'Aktuelle Einnahmen'!A2:G104,3,0),"")</f>
        <v>0</v>
      </c>
      <c r="D150" s="246">
        <f>IFERROR(VLOOKUP($B150,'Aktuelle Einnahmen'!A2:G104,2,0),"")</f>
        <v>0</v>
      </c>
      <c r="E150" s="247">
        <f>IFERROR(VLOOKUP($B150,'Aktuelle Einnahmen'!A2:G104,4,0),"")</f>
        <v>0</v>
      </c>
      <c r="F150" s="94">
        <f>IFERROR(VLOOKUP($B150,'Aktuelle Einnahmen'!A2:G104,5,0),"")</f>
        <v>0</v>
      </c>
      <c r="G150" s="94">
        <f>IFERROR(VLOOKUP($B150,'Aktuelle Einnahmen'!A2:G104,6,0),"")</f>
        <v>0</v>
      </c>
      <c r="H150" s="94">
        <f>IFERROR(VLOOKUP($B150,'Aktuelle Einnahmen'!A2:G104,7,0),"")</f>
        <v>0</v>
      </c>
      <c r="I150" s="186" t="e">
        <f>DATE(H150,G150,F150)</f>
        <v>#NUM!</v>
      </c>
      <c r="J150" s="472">
        <f ca="1">J140</f>
        <v>45475</v>
      </c>
      <c r="K150" s="506" t="str">
        <f t="shared" si="62"/>
        <v>+Inflat.-P</v>
      </c>
      <c r="L150" s="1262" t="str">
        <f>IFERROR(VLOOKUP(B150,'Aktuelle Einnahmen'!A12:I114,9,0),"")</f>
        <v>Auswahl treffen</v>
      </c>
      <c r="M150" s="1263"/>
      <c r="N150" s="261"/>
      <c r="O150" s="261"/>
      <c r="P150" s="261"/>
      <c r="Q150" s="261"/>
      <c r="R150" s="189"/>
      <c r="S150" s="190"/>
      <c r="T150" s="190"/>
      <c r="U150" s="191"/>
      <c r="V150" s="192"/>
      <c r="W150" s="190"/>
      <c r="X150" s="190"/>
      <c r="Y150" s="191"/>
      <c r="Z150" s="192"/>
      <c r="AA150" s="190"/>
      <c r="AB150" s="190"/>
      <c r="AC150" s="191"/>
      <c r="AD150" s="192"/>
      <c r="AE150" s="190"/>
      <c r="AF150" s="190"/>
      <c r="AG150" s="191"/>
      <c r="AH150" s="193"/>
      <c r="AI150" s="190"/>
      <c r="AJ150" s="190"/>
      <c r="AK150" s="374"/>
      <c r="AL150" s="348"/>
      <c r="AM150" s="354"/>
      <c r="AN150" s="354"/>
      <c r="AO150" s="354"/>
      <c r="AP150" s="354"/>
      <c r="AQ150" s="350"/>
      <c r="AR150" s="769"/>
      <c r="AS150" s="769"/>
      <c r="AT150" s="769"/>
      <c r="AW150"/>
      <c r="AX150"/>
      <c r="AY150" s="280"/>
      <c r="AZ150"/>
      <c r="BA150"/>
      <c r="BB150"/>
      <c r="BC150"/>
      <c r="BD150"/>
      <c r="BE150"/>
      <c r="BF150"/>
      <c r="BG150" s="280"/>
      <c r="BH150"/>
      <c r="BI150"/>
      <c r="BJ150"/>
      <c r="BK150"/>
      <c r="BL150"/>
      <c r="BM150"/>
      <c r="BN150"/>
      <c r="BO150"/>
      <c r="BS150" s="335"/>
      <c r="BT150" s="335"/>
      <c r="BU150" s="335"/>
      <c r="BV150" s="335"/>
      <c r="BW150" s="335"/>
      <c r="BX150" s="335"/>
      <c r="BY150" s="335"/>
      <c r="BZ150" s="335"/>
      <c r="CA150" s="335"/>
      <c r="CB150" s="335"/>
      <c r="CC150" s="335"/>
      <c r="CD150" s="335"/>
      <c r="CE150" s="335"/>
      <c r="CF150" s="335"/>
      <c r="CG150" s="335"/>
      <c r="CH150" s="335"/>
      <c r="CI150" s="335"/>
    </row>
    <row r="151" spans="1:87" ht="22.25" customHeight="1">
      <c r="A151" s="181">
        <f t="shared" si="58"/>
        <v>45292</v>
      </c>
      <c r="B151" s="491" t="e">
        <f>DAY(I150)</f>
        <v>#NUM!</v>
      </c>
      <c r="C151" s="489" t="s">
        <v>158</v>
      </c>
      <c r="D151" s="523" t="e">
        <f>(I151*4)+J151/3+1</f>
        <v>#NUM!</v>
      </c>
      <c r="E151" s="194" t="e">
        <f>J153+1</f>
        <v>#NUM!</v>
      </c>
      <c r="F151" s="195" t="e">
        <f t="shared" ref="F151:F158" si="63">DAY(E151)</f>
        <v>#NUM!</v>
      </c>
      <c r="G151" s="196" t="e">
        <f t="shared" ref="G151:G158" si="64">MONTH(E151)</f>
        <v>#NUM!</v>
      </c>
      <c r="H151" s="195" t="e">
        <f t="shared" ref="H151:H158" si="65">YEAR(E151)</f>
        <v>#NUM!</v>
      </c>
      <c r="I151" s="197" t="e">
        <f>H151-(H150+2000)</f>
        <v>#NUM!</v>
      </c>
      <c r="J151" s="198" t="e">
        <f>G151-G150</f>
        <v>#NUM!</v>
      </c>
      <c r="K151" s="506" t="str">
        <f>L149</f>
        <v/>
      </c>
      <c r="L151" s="469"/>
      <c r="M151" s="473" t="e">
        <f ca="1">SUM(J150-E152)&amp;" Tage"</f>
        <v>#NUM!</v>
      </c>
      <c r="N151" s="206"/>
      <c r="O151" s="201"/>
      <c r="P151" s="201"/>
      <c r="Q151" s="202"/>
      <c r="R151" s="189"/>
      <c r="S151" s="203"/>
      <c r="T151" s="203"/>
      <c r="U151" s="204"/>
      <c r="V151" s="192"/>
      <c r="W151" s="203"/>
      <c r="X151" s="203"/>
      <c r="Y151" s="204"/>
      <c r="Z151" s="192"/>
      <c r="AA151" s="203"/>
      <c r="AB151" s="203"/>
      <c r="AC151" s="204"/>
      <c r="AD151" s="192"/>
      <c r="AE151" s="203"/>
      <c r="AF151" s="203"/>
      <c r="AG151" s="204"/>
      <c r="AH151" s="193"/>
      <c r="AI151" s="203"/>
      <c r="AJ151" s="203"/>
      <c r="AK151" s="375"/>
      <c r="AL151" s="348"/>
      <c r="AM151" s="354"/>
      <c r="AN151" s="354"/>
      <c r="AO151" s="354"/>
      <c r="AP151" s="354"/>
      <c r="AQ151" s="350"/>
      <c r="AR151" s="769"/>
      <c r="AS151" s="769"/>
      <c r="AT151" s="769"/>
      <c r="AW151"/>
      <c r="AX151"/>
      <c r="AY151" s="280"/>
      <c r="AZ151"/>
      <c r="BA151"/>
      <c r="BB151"/>
      <c r="BC151"/>
      <c r="BD151"/>
      <c r="BE151"/>
      <c r="BF151"/>
      <c r="BG151" s="280"/>
      <c r="BH151"/>
      <c r="BI151"/>
      <c r="BJ151"/>
      <c r="BK151"/>
      <c r="BL151"/>
      <c r="BM151"/>
      <c r="BN151"/>
      <c r="BO151"/>
      <c r="BS151" s="335"/>
      <c r="BT151" s="335"/>
      <c r="BU151" s="335"/>
      <c r="BV151" s="335"/>
      <c r="BW151" s="335"/>
      <c r="BX151" s="335"/>
      <c r="BY151" s="335"/>
      <c r="BZ151" s="335"/>
      <c r="CA151" s="335"/>
      <c r="CB151" s="335"/>
      <c r="CC151" s="335"/>
      <c r="CD151" s="335"/>
      <c r="CE151" s="335"/>
      <c r="CF151" s="335"/>
      <c r="CG151" s="335"/>
      <c r="CH151" s="335"/>
      <c r="CI151" s="335"/>
    </row>
    <row r="152" spans="1:87" ht="22.25" customHeight="1">
      <c r="A152" s="181">
        <f t="shared" si="58"/>
        <v>45292</v>
      </c>
      <c r="B152" s="492"/>
      <c r="C152" s="490"/>
      <c r="D152" s="524"/>
      <c r="E152" s="194" t="e">
        <f>DATE(YEAR(E151),MONTH(E151)+3,DAY(E151)-1)</f>
        <v>#NUM!</v>
      </c>
      <c r="F152" s="195" t="e">
        <f t="shared" si="63"/>
        <v>#NUM!</v>
      </c>
      <c r="G152" s="196" t="e">
        <f t="shared" si="64"/>
        <v>#NUM!</v>
      </c>
      <c r="H152" s="195" t="e">
        <f t="shared" si="65"/>
        <v>#NUM!</v>
      </c>
      <c r="I152" s="244">
        <v>-1</v>
      </c>
      <c r="J152" s="198" t="e">
        <f>F151-F150</f>
        <v>#NUM!</v>
      </c>
      <c r="K152" s="501" t="str">
        <f t="shared" si="62"/>
        <v>+Inflat.-P</v>
      </c>
      <c r="L152" s="511" t="e">
        <f>IF(M149="Stufe A",IF(AND(L150="Auswahl treffen",D151&gt;=0,D151&lt;=1000),J149,IF(AND(L150="Vermögend und ambulant",D151&gt;8,D151&lt;=1000),130,IF(AND(L150="Vermögend und ambulant",D151&gt;4,D151&lt;=8),158,IF(AND(L150="Vermögend und ambulant",D151&gt;2,D151&lt;=4),192,IF(AND(L150="Vermögend und ambulant",D151&gt;1,D151&lt;=2),208,IF(AND(L150="Vermögend und ambulant",D151&gt;0,D151&lt;=1),298,IF(AND(L150="Vermögend und stationär",D151&gt;8,D151&lt;=1000),78,IF(AND(L150="Vermögend und stationär",D151&gt;4,D151&lt;=8),91,IF(AND(L150="Vermögend und stationär",D151&gt;2,D151&lt;=4),140,IF(AND(L150="Vermögend und stationär",D151&gt;1,D151&lt;=2),158,IF(AND(L150="Vermögend und stationär",D151&gt;0,D151&lt;=1),200,IF(AND(L150="Mittellos und ambulant",D151&gt;8,D151&lt;=1000),105,IF(AND(L150="Mittellos und ambulant",D151&gt;4,D151&lt;=8),122,IF(AND(L150="Mittellos und ambulant",D151&gt;2,D151&lt;=4),151,IF(AND(L150="Mittellos und ambulant",D151&gt;1,D151&lt;=2),170,IF(AND(L150="Mittellos und ambulant",D151&gt;0,D151&lt;=1),208,IF(AND(L150="Mittellos und stationär",D151&gt;8,D151&lt;=1000),62,IF(AND(L150="Mittellos und stationär",D151&gt;4,D151&lt;=8),87,IF(AND(L150="Mittellos und stationär",D151&gt;2,D151&lt;=4),124,IF(AND(L150="Mittellos und stationär",D151&gt;1,D151&lt;=2),129,IF(AND(L150="Mittellos und stationär",D151&gt;0,D151&lt;=1),194,""))))))))))))))))))))),IF(M149="Stufe B",IF(AND(L150="Auswahl treffen",D151&gt;=0,D151&lt;=1000),J149,IF(AND(L150="Vermögend und ambulant",D151&gt;8,D151&lt;=1000),161,IF(AND(L150="Vermögend und ambulant",D151&gt;4,D151&lt;=8),196,IF(AND(L150="Vermögend und ambulant",D151&gt;2,D151&lt;=4),238,IF(AND(L150="Vermögend und ambulant",D151&gt;1,D151&lt;=2),258,IF(AND(L150="Vermögend und ambulant",D151&gt;0,D151&lt;=1),370,IF(AND(L150="Vermögend und stationär",D151&gt;8,D151&lt;=1000),96,IF(AND(L150="Vermögend und stationär",D151&gt;4,D151&lt;=8),113,IF(AND(L150="Vermögend und stationär",D151&gt;2,D151&lt;=4),174,IF(AND(L150="Vermögend und stationär",D151&gt;1,D151&lt;=2),196,IF(AND(L150="Vermögend und stationär",D151&gt;0,D151&lt;=1),249,IF(AND(L150="Mittellos und ambulant",D151&gt;8,D151&lt;=1000),130,IF(AND(L150="Mittellos und ambulant",D151&gt;4,D151&lt;=8),151,IF(AND(L150="Mittellos und ambulant",D151&gt;2,D151&lt;=4),188,IF(AND(L150="Mittellos und ambulant",D151&gt;1,D151&lt;=2),211,IF(AND(L150="Mittellos und ambulant",D151&gt;0,D151&lt;=1),258,IF(AND(L150="Mittellos und stationär",D151&gt;8,D151&lt;=1000),78,IF(AND(L150="Mittellos und stationär",D151&gt;4,D151&lt;=8),107,IF(AND(L150="Mittellos und stationär",D151&gt;2,D151&lt;=4),154,IF(AND(L150="Mittellos und stationär",D151&gt;1,D151&lt;=2),158,IF(AND(L150="Mittellos und stationär",D151&gt;0,D151&lt;=1),241,""))))))))))))))))))))),IF(M149="Stufe C",IF(AND(L150="Auswahl treffen",D151&gt;=0,D151&lt;=1000),J149,IF(AND(L150="Vermögend und ambulant",D151&gt;8,D151&lt;=1000),211,IF(AND(L150="Vermögend und ambulant",D151&gt;4,D151&lt;=8),257,IF(AND(L150="Vermögend und ambulant",D151&gt;2,D151&lt;=4),312,IF(AND(L150="Vermögend und ambulant",D151&gt;1,D151&lt;=2),339,IF(AND(L150="Vermögend und ambulant",D151&gt;0,D151&lt;=1),486,IF(AND(L150="Vermögend und stationär",D151&gt;8,D151&lt;=1000),127,IF(AND(L150="Vermögend und stationär",D151&gt;4,D151&lt;=8),149,IF(AND(L150="Vermögend und stationär",D151&gt;2,D151&lt;=4),229,IF(AND(L150="Vermögend und stationär",D151&gt;1,D151&lt;=2),257,IF(AND(L150="Vermögend und stationär",D151&gt;0,D151&lt;=1),327,IF(AND(L150="Mittellos und ambulant",D151&gt;8,D151&lt;=1000),171,IF(AND(L150="Mittellos und ambulant",D151&gt;4,D151&lt;=8),198,IF(AND(L150="Mittellos und ambulant",D151&gt;2,D151&lt;=4),246,IF(AND(L150="Mittellos und ambulant",D151&gt;1,D151&lt;=2),277,IF(AND(L150="Mittellos und ambulant",D151&gt;0,D151&lt;=1),339,IF(AND(L150="Mittellos und stationär",D151&gt;8,D151&lt;=1000),102,IF(AND(L150="Mittellos und stationär",D151&gt;4,D151&lt;=8),141,IF(AND(L150="Mittellos und stationär",D151&gt;2,D151&lt;=4),202,IF(AND(L150="Mittellos und stationär",D151&gt;1,D151&lt;=2),208,IF(AND(L150="Mittellos und stationär",D151&gt;0,D151&lt;=1),317,""))))))))))))))))))))),"")))*3+(J149*90)</f>
        <v>#NUM!</v>
      </c>
      <c r="M152" s="507" t="str">
        <f>CONCATENATE(K152, K151)</f>
        <v>+Inflat.-P</v>
      </c>
      <c r="N152" s="206" t="s">
        <v>118</v>
      </c>
      <c r="O152" s="207"/>
      <c r="P152" s="207"/>
      <c r="Q152" s="208"/>
      <c r="R152" s="187"/>
      <c r="S152" s="209" t="s">
        <v>118</v>
      </c>
      <c r="T152" s="201" t="s">
        <v>117</v>
      </c>
      <c r="U152" s="210" t="s">
        <v>26</v>
      </c>
      <c r="V152" s="192"/>
      <c r="W152" s="203"/>
      <c r="X152" s="203"/>
      <c r="Y152" s="210"/>
      <c r="Z152" s="192"/>
      <c r="AA152" s="203"/>
      <c r="AB152" s="203"/>
      <c r="AC152" s="210"/>
      <c r="AD152" s="192"/>
      <c r="AE152" s="203"/>
      <c r="AF152" s="203"/>
      <c r="AG152" s="210"/>
      <c r="AH152" s="193"/>
      <c r="AI152" s="203"/>
      <c r="AJ152" s="203"/>
      <c r="AK152" s="376"/>
      <c r="AL152" s="348" t="s">
        <v>148</v>
      </c>
      <c r="AM152" s="354">
        <f>IF(SUM(N150:N158)=SUM(S150:S158), 0, SUM(N150:N158)-SUM(S150:S158))</f>
        <v>0</v>
      </c>
      <c r="AN152" s="354"/>
      <c r="AO152" s="354"/>
      <c r="AP152" s="354"/>
      <c r="AQ152" s="350">
        <f>AM152+AN152+AO152+AP152</f>
        <v>0</v>
      </c>
      <c r="AR152" s="769"/>
      <c r="AS152" s="769"/>
      <c r="AT152" s="769"/>
      <c r="AW152"/>
      <c r="AX152"/>
      <c r="AY152" s="280"/>
      <c r="AZ152"/>
      <c r="BA152"/>
      <c r="BB152"/>
      <c r="BC152"/>
      <c r="BD152"/>
      <c r="BE152"/>
      <c r="BF152"/>
      <c r="BG152" s="280"/>
      <c r="BH152"/>
      <c r="BI152"/>
      <c r="BJ152"/>
      <c r="BK152"/>
      <c r="BL152"/>
      <c r="BM152"/>
      <c r="BN152"/>
      <c r="BO152"/>
      <c r="BS152" s="335"/>
      <c r="BT152" s="335"/>
      <c r="BU152" s="335"/>
      <c r="BV152" s="335"/>
      <c r="BW152" s="335"/>
      <c r="BX152" s="335"/>
      <c r="BY152" s="335"/>
      <c r="BZ152" s="335"/>
      <c r="CA152" s="335"/>
      <c r="CB152" s="335"/>
      <c r="CC152" s="335"/>
      <c r="CD152" s="335"/>
      <c r="CE152" s="335"/>
      <c r="CF152" s="335"/>
      <c r="CG152" s="335"/>
      <c r="CH152" s="335"/>
      <c r="CI152" s="335"/>
    </row>
    <row r="153" spans="1:87" ht="22.25" customHeight="1">
      <c r="A153" s="181">
        <f t="shared" si="58"/>
        <v>45292</v>
      </c>
      <c r="B153" s="491" t="e">
        <f>MONTH(I150)</f>
        <v>#NUM!</v>
      </c>
      <c r="C153" s="489" t="s">
        <v>158</v>
      </c>
      <c r="D153" s="525" t="e">
        <f>D151+1</f>
        <v>#NUM!</v>
      </c>
      <c r="E153" s="211" t="e">
        <f>DATE(YEAR(E152),MONTH(E152),DAY(E152)+1)</f>
        <v>#NUM!</v>
      </c>
      <c r="F153" s="212" t="e">
        <f t="shared" si="63"/>
        <v>#NUM!</v>
      </c>
      <c r="G153" s="213" t="e">
        <f t="shared" si="64"/>
        <v>#NUM!</v>
      </c>
      <c r="H153" s="212" t="e">
        <f t="shared" si="65"/>
        <v>#NUM!</v>
      </c>
      <c r="I153" s="214" t="str">
        <f>IF(D150&lt;&gt;0,"-1T","")</f>
        <v/>
      </c>
      <c r="J153" s="215" t="e">
        <f>DATE($B155,I154,$B151)</f>
        <v>#NUM!</v>
      </c>
      <c r="K153" s="506" t="str">
        <f t="shared" si="62"/>
        <v/>
      </c>
      <c r="L153" s="470"/>
      <c r="M153" s="473" t="e">
        <f ca="1">SUM(J150-E154)&amp;" Tage"</f>
        <v>#NUM!</v>
      </c>
      <c r="N153" s="216"/>
      <c r="O153" s="217"/>
      <c r="P153" s="188"/>
      <c r="Q153" s="217"/>
      <c r="R153" s="189"/>
      <c r="S153" s="190"/>
      <c r="T153" s="190"/>
      <c r="U153" s="191"/>
      <c r="V153" s="192"/>
      <c r="W153" s="190"/>
      <c r="X153" s="190"/>
      <c r="Y153" s="191"/>
      <c r="Z153" s="192"/>
      <c r="AA153" s="190"/>
      <c r="AB153" s="190"/>
      <c r="AC153" s="191"/>
      <c r="AD153" s="192"/>
      <c r="AE153" s="190"/>
      <c r="AF153" s="190"/>
      <c r="AG153" s="191"/>
      <c r="AH153" s="193"/>
      <c r="AI153" s="190"/>
      <c r="AJ153" s="190"/>
      <c r="AK153" s="374"/>
      <c r="AL153" s="348"/>
      <c r="AM153" s="354"/>
      <c r="AN153" s="354"/>
      <c r="AO153" s="354"/>
      <c r="AP153" s="354"/>
      <c r="AQ153" s="350"/>
      <c r="AR153" s="769"/>
      <c r="AS153" s="769"/>
      <c r="AT153" s="769"/>
      <c r="AW153"/>
      <c r="AX153"/>
      <c r="AY153" s="280"/>
      <c r="AZ153"/>
      <c r="BA153"/>
      <c r="BB153"/>
      <c r="BC153"/>
      <c r="BD153"/>
      <c r="BE153"/>
      <c r="BF153"/>
      <c r="BG153" s="280"/>
      <c r="BH153"/>
      <c r="BI153"/>
      <c r="BJ153"/>
      <c r="BK153"/>
      <c r="BL153"/>
      <c r="BM153"/>
      <c r="BN153"/>
      <c r="BO153"/>
      <c r="BS153" s="335"/>
      <c r="BT153" s="335"/>
      <c r="BU153" s="335"/>
      <c r="BV153" s="335"/>
      <c r="BW153" s="335"/>
      <c r="BX153" s="335"/>
      <c r="BY153" s="335"/>
      <c r="BZ153" s="335"/>
      <c r="CA153" s="335"/>
      <c r="CB153" s="335"/>
      <c r="CC153" s="335"/>
      <c r="CD153" s="335"/>
      <c r="CE153" s="335"/>
      <c r="CF153" s="335"/>
      <c r="CG153" s="335"/>
      <c r="CH153" s="335"/>
      <c r="CI153" s="335"/>
    </row>
    <row r="154" spans="1:87" ht="22.25" customHeight="1">
      <c r="A154" s="181">
        <f t="shared" si="58"/>
        <v>45292</v>
      </c>
      <c r="B154" s="492"/>
      <c r="C154" s="490"/>
      <c r="D154" s="526"/>
      <c r="E154" s="218" t="e">
        <f>DATE(YEAR(E153),MONTH(E153)+3,DAY(E153)-1)</f>
        <v>#NUM!</v>
      </c>
      <c r="F154" s="212" t="e">
        <f t="shared" si="63"/>
        <v>#NUM!</v>
      </c>
      <c r="G154" s="213" t="e">
        <f t="shared" si="64"/>
        <v>#NUM!</v>
      </c>
      <c r="H154" s="212" t="e">
        <f t="shared" si="65"/>
        <v>#NUM!</v>
      </c>
      <c r="I154" s="219">
        <f>MAX(I155:I158)</f>
        <v>9</v>
      </c>
      <c r="J154" s="220" t="e">
        <f>DATE(YEAR(J153)+1,MONTH(J153),DAY(J153))</f>
        <v>#NUM!</v>
      </c>
      <c r="K154" s="501" t="str">
        <f t="shared" si="62"/>
        <v>+Inflat.-P</v>
      </c>
      <c r="L154" s="508" t="e">
        <f>IF(M149="Stufe A",IF(AND(L150="Auswahl treffen",D153&gt;=0,D153&lt;=1000),J149,IF(AND(L150="Vermögend und ambulant",D153&gt;8,D153&lt;=1000),130,IF(AND(L150="Vermögend und ambulant",D153&gt;4,D153&lt;=8),158,IF(AND(L150="Vermögend und ambulant",D153&gt;2,D153&lt;=4),192,IF(AND(L150="Vermögend und ambulant",D153&gt;1,D153&lt;=2),208,IF(AND(L150="Vermögend und ambulant",D153&gt;0,D153&lt;=1),298,IF(AND(L150="Vermögend und stationär",D153&gt;8,D153&lt;=1000),78,IF(AND(L150="Vermögend und stationär",D153&gt;4,D153&lt;=8),91,IF(AND(L150="Vermögend und stationär",D153&gt;2,D153&lt;=4),140,IF(AND(L150="Vermögend und stationär",D153&gt;1,D153&lt;=2),158,IF(AND(L150="Vermögend und stationär",D153&gt;0,D153&lt;=1),200,IF(AND(L150="Mittellos und ambulant",D153&gt;8,D153&lt;=1000),105,IF(AND(L150="Mittellos und ambulant",D153&gt;4,D153&lt;=8),122,IF(AND(L150="Mittellos und ambulant",D153&gt;2,D153&lt;=4),151,IF(AND(L150="Mittellos und ambulant",D153&gt;1,D153&lt;=2),170,IF(AND(L150="Mittellos und ambulant",D153&gt;0,D153&lt;=1),208,IF(AND(L150="Mittellos und stationär",D153&gt;8,D153&lt;=1000),62,IF(AND(L150="Mittellos und stationär",D153&gt;4,D153&lt;=8),87,IF(AND(L150="Mittellos und stationär",D153&gt;2,D153&lt;=4),124,IF(AND(L150="Mittellos und stationär",D153&gt;1,D153&lt;=2),129,IF(AND(L150="Mittellos und stationär",D153&gt;0,D153&lt;=1),194,""))))))))))))))))))))),IF(M149="Stufe B",IF(AND(L150="Auswahl treffen",D153&gt;=0,D153&lt;=1000),J149,IF(AND(L150="Vermögend und ambulant",D153&gt;8,D153&lt;=1000),161,IF(AND(L150="Vermögend und ambulant",D153&gt;4,D153&lt;=8),196,IF(AND(L150="Vermögend und ambulant",D153&gt;2,D153&lt;=4),238,IF(AND(L150="Vermögend und ambulant",D153&gt;1,D153&lt;=2),258,IF(AND(L150="Vermögend und ambulant",D153&gt;0,D153&lt;=1),370,IF(AND(L150="Vermögend und stationär",D153&gt;8,D153&lt;=1000),96,IF(AND(L150="Vermögend und stationär",D153&gt;4,D153&lt;=8),113,IF(AND(L150="Vermögend und stationär",D153&gt;2,D153&lt;=4),174,IF(AND(L150="Vermögend und stationär",D153&gt;1,D153&lt;=2),196,IF(AND(L150="Vermögend und stationär",D153&gt;0,D153&lt;=1),249,IF(AND(L150="Mittellos und ambulant",D153&gt;8,D153&lt;=1000),130,IF(AND(L150="Mittellos und ambulant",D153&gt;4,D153&lt;=8),151,IF(AND(L150="Mittellos und ambulant",D153&gt;2,D153&lt;=4),188,IF(AND(L150="Mittellos und ambulant",D153&gt;1,D153&lt;=2),211,IF(AND(L150="Mittellos und ambulant",D153&gt;0,D153&lt;=1),258,IF(AND(L150="Mittellos und stationär",D153&gt;8,D153&lt;=1000),78,IF(AND(L150="Mittellos und stationär",D153&gt;4,D153&lt;=8),107,IF(AND(L150="Mittellos und stationär",D153&gt;2,D153&lt;=4),154,IF(AND(L150="Mittellos und stationär",D153&gt;1,D153&lt;=2),158,IF(AND(L150="Mittellos und stationär",D153&gt;0,D153&lt;=1),241,""))))))))))))))))))))),IF(M149="Stufe C",IF(AND(L150="Auswahl treffen",D153&gt;=0,D153&lt;=1000),J149,IF(AND(L150="Vermögend und ambulant",D153&gt;8,D153&lt;=1000),211,IF(AND(L150="Vermögend und ambulant",D153&gt;4,D153&lt;=8),257,IF(AND(L150="Vermögend und ambulant",D153&gt;2,D153&lt;=4),312,IF(AND(L150="Vermögend und ambulant",D153&gt;1,D153&lt;=2),339,IF(AND(L150="Vermögend und ambulant",D153&gt;0,D153&lt;=1),486,IF(AND(L150="Vermögend und stationär",D153&gt;8,D153&lt;=1000),127,IF(AND(L150="Vermögend und stationär",D153&gt;4,D153&lt;=8),149,IF(AND(L150="Vermögend und stationär",D153&gt;2,D153&lt;=4),229,IF(AND(L150="Vermögend und stationär",D153&gt;1,D153&lt;=2),257,IF(AND(L150="Vermögend und stationär",D153&gt;0,D153&lt;=1),327,IF(AND(L150="Mittellos und ambulant",D153&gt;8,D153&lt;=1000),171,IF(AND(L150="Mittellos und ambulant",D153&gt;4,D153&lt;=8),198,IF(AND(L150="Mittellos und ambulant",D153&gt;2,D153&lt;=4),246,IF(AND(L150="Mittellos und ambulant",D153&gt;1,D153&lt;=2),277,IF(AND(L150="Mittellos und ambulant",D153&gt;0,D153&lt;=1),339,IF(AND(L150="Mittellos und stationär",D153&gt;8,D153&lt;=1000),102,IF(AND(L150="Mittellos und stationär",D153&gt;4,D153&lt;=8),141,IF(AND(L150="Mittellos und stationär",D153&gt;2,D153&lt;=4),202,IF(AND(L150="Mittellos und stationär",D153&gt;1,D153&lt;=2),208,IF(AND(L150="Mittellos und stationär",D153&gt;0,D153&lt;=1),317,""))))))))))))))))))))),"")))*3+(J149*90)</f>
        <v>#NUM!</v>
      </c>
      <c r="M154" s="507" t="str">
        <f>CONCATENATE(K154, K153)</f>
        <v>+Inflat.-P</v>
      </c>
      <c r="N154" s="216"/>
      <c r="O154" s="188" t="s">
        <v>118</v>
      </c>
      <c r="P154" s="188"/>
      <c r="Q154" s="221"/>
      <c r="R154" s="199"/>
      <c r="S154" s="190"/>
      <c r="T154" s="190"/>
      <c r="U154" s="191"/>
      <c r="V154" s="192"/>
      <c r="W154" s="222" t="s">
        <v>118</v>
      </c>
      <c r="X154" s="222" t="s">
        <v>117</v>
      </c>
      <c r="Y154" s="191" t="s">
        <v>26</v>
      </c>
      <c r="Z154" s="192"/>
      <c r="AA154" s="190"/>
      <c r="AB154" s="190"/>
      <c r="AC154" s="191"/>
      <c r="AD154" s="192"/>
      <c r="AE154" s="190"/>
      <c r="AF154" s="190"/>
      <c r="AG154" s="191"/>
      <c r="AH154" s="193"/>
      <c r="AI154" s="190"/>
      <c r="AJ154" s="190"/>
      <c r="AK154" s="374"/>
      <c r="AL154" s="348" t="s">
        <v>149</v>
      </c>
      <c r="AM154" s="354"/>
      <c r="AN154" s="354">
        <f>IF(SUM(O150:O158)=SUM(W150:W158), 0, SUM(O150:O158)-SUM(W150:W158))</f>
        <v>0</v>
      </c>
      <c r="AO154" s="354"/>
      <c r="AP154" s="354"/>
      <c r="AQ154" s="350">
        <f>AM154+AN154+AO154+AP154</f>
        <v>0</v>
      </c>
      <c r="AR154" s="769"/>
      <c r="AS154" s="769"/>
      <c r="AT154" s="769"/>
      <c r="AW154"/>
      <c r="AX154"/>
      <c r="AY154" s="280"/>
      <c r="AZ154"/>
      <c r="BA154"/>
      <c r="BB154"/>
      <c r="BC154"/>
      <c r="BD154"/>
      <c r="BE154"/>
      <c r="BF154"/>
      <c r="BG154" s="280"/>
      <c r="BH154"/>
      <c r="BI154"/>
      <c r="BJ154"/>
      <c r="BK154"/>
      <c r="BL154"/>
      <c r="BM154"/>
      <c r="BN154"/>
      <c r="BO154"/>
      <c r="BS154" s="335"/>
      <c r="BT154" s="335"/>
      <c r="BU154" s="335"/>
      <c r="BV154" s="335"/>
      <c r="BW154" s="335"/>
      <c r="BX154" s="335"/>
      <c r="BY154" s="335"/>
      <c r="BZ154" s="335"/>
      <c r="CA154" s="335"/>
      <c r="CB154" s="335"/>
      <c r="CC154" s="335"/>
      <c r="CD154" s="335"/>
      <c r="CE154" s="335"/>
      <c r="CF154" s="335"/>
      <c r="CG154" s="335"/>
      <c r="CH154" s="335"/>
      <c r="CI154" s="335"/>
    </row>
    <row r="155" spans="1:87" ht="22.25" customHeight="1">
      <c r="A155" s="181">
        <f t="shared" si="58"/>
        <v>45292</v>
      </c>
      <c r="B155" s="491">
        <f>YEAR($A156)-1</f>
        <v>2023</v>
      </c>
      <c r="C155" s="489" t="s">
        <v>158</v>
      </c>
      <c r="D155" s="523" t="e">
        <f>D153+1</f>
        <v>#NUM!</v>
      </c>
      <c r="E155" s="194" t="e">
        <f>DATE(YEAR(E154),MONTH(E154),DAY(E154)+1)</f>
        <v>#NUM!</v>
      </c>
      <c r="F155" s="195" t="e">
        <f t="shared" si="63"/>
        <v>#NUM!</v>
      </c>
      <c r="G155" s="196" t="e">
        <f t="shared" si="64"/>
        <v>#NUM!</v>
      </c>
      <c r="H155" s="195" t="e">
        <f t="shared" si="65"/>
        <v>#NUM!</v>
      </c>
      <c r="I155" s="197">
        <f>IF(J157&lt;13,J157,"")</f>
        <v>9</v>
      </c>
      <c r="J155" s="224">
        <f>G150</f>
        <v>0</v>
      </c>
      <c r="K155" s="506" t="str">
        <f t="shared" si="62"/>
        <v/>
      </c>
      <c r="L155" s="471"/>
      <c r="M155" s="473" t="e">
        <f ca="1">SUM(J150-E156)&amp;" Tage"</f>
        <v>#NUM!</v>
      </c>
      <c r="N155" s="200"/>
      <c r="O155" s="201"/>
      <c r="P155" s="201"/>
      <c r="Q155" s="202"/>
      <c r="R155" s="189"/>
      <c r="S155" s="203"/>
      <c r="T155" s="203"/>
      <c r="U155" s="204"/>
      <c r="V155" s="192"/>
      <c r="W155" s="203"/>
      <c r="X155" s="203"/>
      <c r="Y155" s="204"/>
      <c r="Z155" s="192"/>
      <c r="AA155" s="203"/>
      <c r="AB155" s="203"/>
      <c r="AC155" s="204"/>
      <c r="AD155" s="192"/>
      <c r="AE155" s="203"/>
      <c r="AF155" s="203"/>
      <c r="AG155" s="204"/>
      <c r="AH155" s="193"/>
      <c r="AI155" s="203"/>
      <c r="AJ155" s="203"/>
      <c r="AK155" s="375"/>
      <c r="AL155" s="348"/>
      <c r="AM155" s="354"/>
      <c r="AN155" s="354"/>
      <c r="AO155" s="354"/>
      <c r="AP155" s="354"/>
      <c r="AQ155" s="350"/>
      <c r="AR155" s="769"/>
      <c r="AS155" s="769"/>
      <c r="AT155" s="769"/>
      <c r="AW155"/>
      <c r="AX155"/>
      <c r="AY155" s="280"/>
      <c r="AZ155"/>
      <c r="BA155"/>
      <c r="BB155"/>
      <c r="BC155"/>
      <c r="BD155"/>
      <c r="BE155"/>
      <c r="BF155"/>
      <c r="BG155" s="280"/>
      <c r="BH155"/>
      <c r="BI155"/>
      <c r="BJ155"/>
      <c r="BK155"/>
      <c r="BL155"/>
      <c r="BM155"/>
      <c r="BN155"/>
      <c r="BO155"/>
      <c r="BS155" s="335"/>
      <c r="BT155" s="335"/>
      <c r="BU155" s="335"/>
      <c r="BV155" s="335"/>
      <c r="BW155" s="335"/>
      <c r="BX155" s="335"/>
      <c r="BY155" s="335"/>
      <c r="BZ155" s="335"/>
      <c r="CA155" s="335"/>
      <c r="CB155" s="335"/>
      <c r="CC155" s="335"/>
      <c r="CD155" s="335"/>
      <c r="CE155" s="335"/>
      <c r="CF155" s="335"/>
      <c r="CG155" s="335"/>
      <c r="CH155" s="335"/>
      <c r="CI155" s="335"/>
    </row>
    <row r="156" spans="1:87" ht="22.25" customHeight="1">
      <c r="A156" s="181">
        <f t="shared" si="58"/>
        <v>45292</v>
      </c>
      <c r="B156" s="492"/>
      <c r="C156" s="490"/>
      <c r="D156" s="524"/>
      <c r="E156" s="194" t="e">
        <f>DATE(YEAR(E155),MONTH(E155)+3,DAY(E155)-1)</f>
        <v>#NUM!</v>
      </c>
      <c r="F156" s="195" t="e">
        <f t="shared" si="63"/>
        <v>#NUM!</v>
      </c>
      <c r="G156" s="196" t="e">
        <f t="shared" si="64"/>
        <v>#NUM!</v>
      </c>
      <c r="H156" s="195" t="e">
        <f t="shared" si="65"/>
        <v>#NUM!</v>
      </c>
      <c r="I156" s="244">
        <f>IF(J158&lt;13,J158,"")</f>
        <v>6</v>
      </c>
      <c r="J156" s="224">
        <f>J155+3</f>
        <v>3</v>
      </c>
      <c r="K156" s="501" t="str">
        <f t="shared" si="62"/>
        <v>+Inflat.-P</v>
      </c>
      <c r="L156" s="511" t="e">
        <f>IF(M149="Stufe A",IF(AND(L150="Auswahl treffen",D155&gt;=0,D155&lt;=1000),J149,IF(AND(L150="Vermögend und ambulant",D155&gt;8,D155&lt;=1000),130,IF(AND(L150="Vermögend und ambulant",D155&gt;4,D155&lt;=8),158,IF(AND(L150="Vermögend und ambulant",D155&gt;2,D155&lt;=4),192,IF(AND(L150="Vermögend und ambulant",D155&gt;1,D155&lt;=2),208,IF(AND(L150="Vermögend und ambulant",D155&gt;0,D155&lt;=1),298,IF(AND(L150="Vermögend und stationär",D155&gt;8,D155&lt;=1000),78,IF(AND(L150="Vermögend und stationär",D155&gt;4,D155&lt;=8),91,IF(AND(L150="Vermögend und stationär",D155&gt;2,D155&lt;=4),140,IF(AND(L150="Vermögend und stationär",D155&gt;1,D155&lt;=2),158,IF(AND(L150="Vermögend und stationär",D155&gt;0,D155&lt;=1),200,IF(AND(L150="Mittellos und ambulant",D155&gt;8,D155&lt;=1000),105,IF(AND(L150="Mittellos und ambulant",D155&gt;4,D155&lt;=8),122,IF(AND(L150="Mittellos und ambulant",D155&gt;2,D155&lt;=4),151,IF(AND(L150="Mittellos und ambulant",D155&gt;1,D155&lt;=2),170,IF(AND(L150="Mittellos und ambulant",D155&gt;0,D155&lt;=1),208,IF(AND(L150="Mittellos und stationär",D155&gt;8,D155&lt;=1000),62,IF(AND(L150="Mittellos und stationär",D155&gt;4,D155&lt;=8),87,IF(AND(L150="Mittellos und stationär",D155&gt;2,D155&lt;=4),124,IF(AND(L150="Mittellos und stationär",D155&gt;1,D155&lt;=2),129,IF(AND(L150="Mittellos und stationär",D155&gt;0,D155&lt;=1),194,""))))))))))))))))))))),IF(M149="Stufe B",IF(AND(L150="Auswahl treffen",D155&gt;=0,D155&lt;=1000),J149,IF(AND(L150="Vermögend und ambulant",D155&gt;8,D155&lt;=1000),161,IF(AND(L150="Vermögend und ambulant",D155&gt;4,D155&lt;=8),196,IF(AND(L150="Vermögend und ambulant",D155&gt;2,D155&lt;=4),238,IF(AND(L150="Vermögend und ambulant",D155&gt;1,D155&lt;=2),258,IF(AND(L150="Vermögend und ambulant",D155&gt;0,D155&lt;=1),370,IF(AND(L150="Vermögend und stationär",D155&gt;8,D155&lt;=1000),96,IF(AND(L150="Vermögend und stationär",D155&gt;4,D155&lt;=8),113,IF(AND(L150="Vermögend und stationär",D155&gt;2,D155&lt;=4),174,IF(AND(L150="Vermögend und stationär",D155&gt;1,D155&lt;=2),196,IF(AND(L150="Vermögend und stationär",D155&gt;0,D155&lt;=1),249,IF(AND(L150="Mittellos und ambulant",D155&gt;8,D155&lt;=1000),130,IF(AND(L150="Mittellos und ambulant",D155&gt;4,D155&lt;=8),151,IF(AND(L150="Mittellos und ambulant",D155&gt;2,D155&lt;=4),188,IF(AND(L150="Mittellos und ambulant",D155&gt;1,D155&lt;=2),211,IF(AND(L150="Mittellos und ambulant",D155&gt;0,D155&lt;=1),258,IF(AND(L150="Mittellos und stationär",D155&gt;8,D155&lt;=1000),78,IF(AND(L150="Mittellos und stationär",D155&gt;4,D155&lt;=8),107,IF(AND(L150="Mittellos und stationär",D155&gt;2,D155&lt;=4),154,IF(AND(L150="Mittellos und stationär",D155&gt;1,D155&lt;=2),158,IF(AND(L150="Mittellos und stationär",D155&gt;0,D155&lt;=1),241,""))))))))))))))))))))),IF(M149="Stufe C",IF(AND(L150="Auswahl treffen",D155&gt;=0,D155&lt;=1000),J149,IF(AND(L150="Vermögend und ambulant",D155&gt;8,D155&lt;=1000),211,IF(AND(L150="Vermögend und ambulant",D155&gt;4,D155&lt;=8),257,IF(AND(L150="Vermögend und ambulant",D155&gt;2,D155&lt;=4),312,IF(AND(L150="Vermögend und ambulant",D155&gt;1,D155&lt;=2),339,IF(AND(L150="Vermögend und ambulant",D155&gt;0,D155&lt;=1),486,IF(AND(L150="Vermögend und stationär",D155&gt;8,D155&lt;=1000),127,IF(AND(L150="Vermögend und stationär",D155&gt;4,D155&lt;=8),149,IF(AND(L150="Vermögend und stationär",D155&gt;2,D155&lt;=4),229,IF(AND(L150="Vermögend und stationär",D155&gt;1,D155&lt;=2),257,IF(AND(L150="Vermögend und stationär",D155&gt;0,D155&lt;=1),327,IF(AND(L150="Mittellos und ambulant",D155&gt;8,D155&lt;=1000),171,IF(AND(L150="Mittellos und ambulant",D155&gt;4,D155&lt;=8),198,IF(AND(L150="Mittellos und ambulant",D155&gt;2,D155&lt;=4),246,IF(AND(L150="Mittellos und ambulant",D155&gt;1,D155&lt;=2),277,IF(AND(L150="Mittellos und ambulant",D155&gt;0,D155&lt;=1),339,IF(AND(L150="Mittellos und stationär",D155&gt;8,D155&lt;=1000),102,IF(AND(L150="Mittellos und stationär",D155&gt;4,D155&lt;=8),141,IF(AND(L150="Mittellos und stationär",D155&gt;2,D155&lt;=4),202,IF(AND(L150="Mittellos und stationär",D155&gt;1,D155&lt;=2),208,IF(AND(L150="Mittellos und stationär",D155&gt;0,D155&lt;=1),317,""))))))))))))))))))))),"")))*3+(J149*90)</f>
        <v>#NUM!</v>
      </c>
      <c r="M156" s="507" t="str">
        <f>CONCATENATE(K156, K155)</f>
        <v>+Inflat.-P</v>
      </c>
      <c r="N156" s="206"/>
      <c r="O156" s="207"/>
      <c r="P156" s="206" t="s">
        <v>118</v>
      </c>
      <c r="Q156" s="226"/>
      <c r="R156" s="189"/>
      <c r="S156" s="203"/>
      <c r="T156" s="203"/>
      <c r="U156" s="204"/>
      <c r="V156" s="192"/>
      <c r="W156" s="203"/>
      <c r="X156" s="203"/>
      <c r="Y156" s="204"/>
      <c r="Z156" s="192"/>
      <c r="AA156" s="209" t="s">
        <v>118</v>
      </c>
      <c r="AB156" s="209" t="s">
        <v>117</v>
      </c>
      <c r="AC156" s="204" t="s">
        <v>26</v>
      </c>
      <c r="AD156" s="192"/>
      <c r="AE156" s="203"/>
      <c r="AF156" s="203"/>
      <c r="AG156" s="204"/>
      <c r="AH156" s="193"/>
      <c r="AI156" s="203"/>
      <c r="AJ156" s="203"/>
      <c r="AK156" s="375"/>
      <c r="AL156" s="348" t="s">
        <v>150</v>
      </c>
      <c r="AM156" s="354"/>
      <c r="AN156" s="354"/>
      <c r="AO156" s="354">
        <f>IF(SUM(P150:P158)=SUM(AA150:AA158), 0, SUM(P150:P158)-SUM(AA150:AA158))</f>
        <v>0</v>
      </c>
      <c r="AP156" s="354"/>
      <c r="AQ156" s="350">
        <f>AM156+AN156+AO156+AP156</f>
        <v>0</v>
      </c>
      <c r="AR156" s="769"/>
      <c r="AS156" s="769"/>
      <c r="AT156" s="769"/>
      <c r="AW156"/>
      <c r="AX156"/>
      <c r="AY156" s="280"/>
      <c r="AZ156"/>
      <c r="BA156"/>
      <c r="BB156"/>
      <c r="BC156"/>
      <c r="BD156"/>
      <c r="BE156"/>
      <c r="BF156"/>
      <c r="BG156" s="280"/>
      <c r="BH156"/>
      <c r="BI156"/>
      <c r="BJ156"/>
      <c r="BK156"/>
      <c r="BL156"/>
      <c r="BM156"/>
      <c r="BN156"/>
      <c r="BO156"/>
      <c r="BS156" s="335"/>
      <c r="BT156" s="335"/>
      <c r="BU156" s="335"/>
      <c r="BV156" s="335"/>
      <c r="BW156" s="335"/>
      <c r="BX156" s="335"/>
      <c r="BY156" s="335"/>
      <c r="BZ156" s="335"/>
      <c r="CA156" s="335"/>
      <c r="CB156" s="335"/>
      <c r="CC156" s="335"/>
      <c r="CD156" s="335"/>
      <c r="CE156" s="335"/>
      <c r="CF156" s="335"/>
      <c r="CG156" s="335"/>
      <c r="CH156" s="335"/>
      <c r="CI156" s="335"/>
    </row>
    <row r="157" spans="1:87" ht="22.25" customHeight="1">
      <c r="A157" s="181">
        <f t="shared" si="58"/>
        <v>45292</v>
      </c>
      <c r="B157" s="493"/>
      <c r="C157" s="489" t="s">
        <v>158</v>
      </c>
      <c r="D157" s="525" t="e">
        <f>D155+1</f>
        <v>#NUM!</v>
      </c>
      <c r="E157" s="211" t="e">
        <f>DATE(YEAR(E156),MONTH(E156),DAY(E156)+1)</f>
        <v>#NUM!</v>
      </c>
      <c r="F157" s="227" t="e">
        <f t="shared" si="63"/>
        <v>#NUM!</v>
      </c>
      <c r="G157" s="228" t="e">
        <f t="shared" si="64"/>
        <v>#NUM!</v>
      </c>
      <c r="H157" s="227" t="e">
        <f t="shared" si="65"/>
        <v>#NUM!</v>
      </c>
      <c r="I157" s="231">
        <f>IF(J156&lt;13,J156,"")</f>
        <v>3</v>
      </c>
      <c r="J157" s="230">
        <f>J158+3</f>
        <v>9</v>
      </c>
      <c r="K157" s="506" t="str">
        <f t="shared" si="62"/>
        <v/>
      </c>
      <c r="L157" s="471"/>
      <c r="M157" s="473" t="e">
        <f ca="1">SUM(J150-E158)&amp;" Tage"</f>
        <v>#NUM!</v>
      </c>
      <c r="N157" s="216"/>
      <c r="O157" s="188"/>
      <c r="P157" s="188"/>
      <c r="Q157" s="217"/>
      <c r="R157" s="189"/>
      <c r="S157" s="190"/>
      <c r="T157" s="190"/>
      <c r="U157" s="191"/>
      <c r="V157" s="192"/>
      <c r="W157" s="190"/>
      <c r="X157" s="190"/>
      <c r="Y157" s="191"/>
      <c r="Z157" s="192"/>
      <c r="AA157" s="190"/>
      <c r="AB157" s="190"/>
      <c r="AC157" s="191"/>
      <c r="AD157" s="192"/>
      <c r="AE157" s="190"/>
      <c r="AF157" s="190"/>
      <c r="AG157" s="191"/>
      <c r="AH157" s="193"/>
      <c r="AI157" s="190"/>
      <c r="AJ157" s="190"/>
      <c r="AK157" s="374"/>
      <c r="AL157" s="348"/>
      <c r="AM157" s="354"/>
      <c r="AN157" s="354"/>
      <c r="AO157" s="354"/>
      <c r="AP157" s="354"/>
      <c r="AQ157" s="350"/>
      <c r="AR157" s="769"/>
      <c r="AS157" s="769"/>
      <c r="AT157" s="769"/>
      <c r="AW157"/>
      <c r="AX157"/>
      <c r="AY157" s="280"/>
      <c r="AZ157"/>
      <c r="BA157"/>
      <c r="BB157"/>
      <c r="BC157"/>
      <c r="BD157"/>
      <c r="BE157"/>
      <c r="BF157"/>
      <c r="BG157" s="280"/>
      <c r="BH157"/>
      <c r="BI157"/>
      <c r="BJ157"/>
      <c r="BK157"/>
      <c r="BL157"/>
      <c r="BM157"/>
      <c r="BN157"/>
      <c r="BO157"/>
      <c r="BS157" s="335"/>
      <c r="BT157" s="335"/>
      <c r="BU157" s="335"/>
      <c r="BV157" s="335"/>
      <c r="BW157" s="335"/>
      <c r="BX157" s="335"/>
      <c r="BY157" s="335"/>
      <c r="BZ157" s="335"/>
      <c r="CA157" s="335"/>
      <c r="CB157" s="335"/>
      <c r="CC157" s="335"/>
      <c r="CD157" s="335"/>
      <c r="CE157" s="335"/>
      <c r="CF157" s="335"/>
      <c r="CG157" s="335"/>
      <c r="CH157" s="335"/>
      <c r="CI157" s="335"/>
    </row>
    <row r="158" spans="1:87" ht="22.25" customHeight="1">
      <c r="A158" s="181">
        <f t="shared" si="58"/>
        <v>45292</v>
      </c>
      <c r="B158" s="494"/>
      <c r="C158" s="490"/>
      <c r="D158" s="526"/>
      <c r="E158" s="218" t="e">
        <f>DATE(YEAR(E157),MONTH(E157)+3,DAY(E157)-1)</f>
        <v>#NUM!</v>
      </c>
      <c r="F158" s="227" t="e">
        <f t="shared" si="63"/>
        <v>#NUM!</v>
      </c>
      <c r="G158" s="228" t="e">
        <f t="shared" si="64"/>
        <v>#NUM!</v>
      </c>
      <c r="H158" s="227" t="e">
        <f t="shared" si="65"/>
        <v>#NUM!</v>
      </c>
      <c r="I158" s="231">
        <f>IF(J155&lt;13,J155,"")</f>
        <v>0</v>
      </c>
      <c r="J158" s="230">
        <f>J156+3</f>
        <v>6</v>
      </c>
      <c r="K158" s="501" t="str">
        <f t="shared" si="62"/>
        <v>+Inflat.-P</v>
      </c>
      <c r="L158" s="508" t="e">
        <f>IF(M149="Stufe A",IF(AND(L150="Auswahl treffen",D157&gt;=0,D157&lt;=1000),J149,IF(AND(L150="Vermögend und ambulant",D157&gt;8,D157&lt;=1000),130,IF(AND(L150="Vermögend und ambulant",D157&gt;4,D157&lt;=8),158,IF(AND(L150="Vermögend und ambulant",D157&gt;2,D157&lt;=4),192,IF(AND(L150="Vermögend und ambulant",D157&gt;1,D157&lt;=2),208,IF(AND(L150="Vermögend und ambulant",D157&gt;0,D157&lt;=1),298,IF(AND(L150="Vermögend und stationär",D157&gt;8,D157&lt;=1000),78,IF(AND(L150="Vermögend und stationär",D157&gt;4,D157&lt;=8),91,IF(AND(L150="Vermögend und stationär",D157&gt;2,D157&lt;=4),140,IF(AND(L150="Vermögend und stationär",D157&gt;1,D157&lt;=2),158,IF(AND(L150="Vermögend und stationär",D157&gt;0,D157&lt;=1),200,IF(AND(L150="Mittellos und ambulant",D157&gt;8,D157&lt;=1000),105,IF(AND(L150="Mittellos und ambulant",D157&gt;4,D157&lt;=8),122,IF(AND(L150="Mittellos und ambulant",D157&gt;2,D157&lt;=4),151,IF(AND(L150="Mittellos und ambulant",D157&gt;1,D157&lt;=2),170,IF(AND(L150="Mittellos und ambulant",D157&gt;0,D157&lt;=1),208,IF(AND(L150="Mittellos und stationär",D157&gt;8,D157&lt;=1000),62,IF(AND(L150="Mittellos und stationär",D157&gt;4,D157&lt;=8),87,IF(AND(L150="Mittellos und stationär",D157&gt;2,D157&lt;=4),124,IF(AND(L150="Mittellos und stationär",D157&gt;1,D157&lt;=2),129,IF(AND(L150="Mittellos und stationär",D157&gt;0,D157&lt;=1),194,""))))))))))))))))))))),IF(M149="Stufe B",IF(AND(L150="Auswahl treffen",D157&gt;=0,D157&lt;=1000),J149,IF(AND(L150="Vermögend und ambulant",D157&gt;8,D157&lt;=1000),161,IF(AND(L150="Vermögend und ambulant",D157&gt;4,D157&lt;=8),196,IF(AND(L150="Vermögend und ambulant",D157&gt;2,D157&lt;=4),238,IF(AND(L150="Vermögend und ambulant",D157&gt;1,D157&lt;=2),258,IF(AND(L150="Vermögend und ambulant",D157&gt;0,D157&lt;=1),370,IF(AND(L150="Vermögend und stationär",D157&gt;8,D157&lt;=1000),96,IF(AND(L150="Vermögend und stationär",D157&gt;4,D157&lt;=8),113,IF(AND(L150="Vermögend und stationär",D157&gt;2,D157&lt;=4),174,IF(AND(L150="Vermögend und stationär",D157&gt;1,D157&lt;=2),196,IF(AND(L150="Vermögend und stationär",D157&gt;0,D157&lt;=1),249,IF(AND(L150="Mittellos und ambulant",D157&gt;8,D157&lt;=1000),130,IF(AND(L150="Mittellos und ambulant",D157&gt;4,D157&lt;=8),151,IF(AND(L150="Mittellos und ambulant",D157&gt;2,D157&lt;=4),188,IF(AND(L150="Mittellos und ambulant",D157&gt;1,D157&lt;=2),211,IF(AND(L150="Mittellos und ambulant",D157&gt;0,D157&lt;=1),258,IF(AND(L150="Mittellos und stationär",D157&gt;8,D157&lt;=1000),78,IF(AND(L150="Mittellos und stationär",D157&gt;4,D157&lt;=8),107,IF(AND(L150="Mittellos und stationär",D157&gt;2,D157&lt;=4),154,IF(AND(L150="Mittellos und stationär",D157&gt;1,D157&lt;=2),158,IF(AND(L150="Mittellos und stationär",D157&gt;0,D157&lt;=1),241,""))))))))))))))))))))),IF(M149="Stufe C",IF(AND(L150="Auswahl treffen",D157&gt;=0,D157&lt;=1000),J149,IF(AND(L150="Vermögend und ambulant",D157&gt;8,D157&lt;=1000),211,IF(AND(L150="Vermögend und ambulant",D157&gt;4,D157&lt;=8),257,IF(AND(L150="Vermögend und ambulant",D157&gt;2,D157&lt;=4),312,IF(AND(L150="Vermögend und ambulant",D157&gt;1,D157&lt;=2),339,IF(AND(L150="Vermögend und ambulant",D157&gt;0,D157&lt;=1),486,IF(AND(L150="Vermögend und stationär",D157&gt;8,D157&lt;=1000),127,IF(AND(L150="Vermögend und stationär",D157&gt;4,D157&lt;=8),149,IF(AND(L150="Vermögend und stationär",D157&gt;2,D157&lt;=4),229,IF(AND(L150="Vermögend und stationär",D157&gt;1,D157&lt;=2),257,IF(AND(L150="Vermögend und stationär",D157&gt;0,D157&lt;=1),327,IF(AND(L150="Mittellos und ambulant",D157&gt;8,D157&lt;=1000),171,IF(AND(L150="Mittellos und ambulant",D157&gt;4,D157&lt;=8),198,IF(AND(L150="Mittellos und ambulant",D157&gt;2,D157&lt;=4),246,IF(AND(L150="Mittellos und ambulant",D157&gt;1,D157&lt;=2),277,IF(AND(L150="Mittellos und ambulant",D157&gt;0,D157&lt;=1),339,IF(AND(L150="Mittellos und stationär",D157&gt;8,D157&lt;=1000),102,IF(AND(L150="Mittellos und stationär",D157&gt;4,D157&lt;=8),141,IF(AND(L150="Mittellos und stationär",D157&gt;2,D157&lt;=4),202,IF(AND(L150="Mittellos und stationär",D157&gt;1,D157&lt;=2),208,IF(AND(L150="Mittellos und stationär",D157&gt;0,D157&lt;=1),317,""))))))))))))))))))))),"")))*3+(J149*90)</f>
        <v>#NUM!</v>
      </c>
      <c r="M158" s="507" t="str">
        <f>CONCATENATE(K158, K157)</f>
        <v>+Inflat.-P</v>
      </c>
      <c r="N158" s="216"/>
      <c r="O158" s="188"/>
      <c r="P158" s="188"/>
      <c r="Q158" s="217" t="s">
        <v>118</v>
      </c>
      <c r="R158" s="189"/>
      <c r="S158" s="190"/>
      <c r="T158" s="190"/>
      <c r="U158" s="191"/>
      <c r="V158" s="192"/>
      <c r="W158" s="190"/>
      <c r="X158" s="190"/>
      <c r="Y158" s="191"/>
      <c r="Z158" s="192"/>
      <c r="AA158" s="190"/>
      <c r="AB158" s="190"/>
      <c r="AC158" s="191"/>
      <c r="AD158" s="192"/>
      <c r="AE158" s="190" t="s">
        <v>118</v>
      </c>
      <c r="AF158" s="190" t="s">
        <v>117</v>
      </c>
      <c r="AG158" s="191" t="s">
        <v>26</v>
      </c>
      <c r="AH158" s="193"/>
      <c r="AI158" s="190" t="s">
        <v>118</v>
      </c>
      <c r="AJ158" s="190" t="s">
        <v>117</v>
      </c>
      <c r="AK158" s="374" t="s">
        <v>26</v>
      </c>
      <c r="AL158" s="348" t="s">
        <v>151</v>
      </c>
      <c r="AM158" s="354"/>
      <c r="AN158" s="354"/>
      <c r="AO158" s="354"/>
      <c r="AP158" s="354">
        <f>IF(SUM(Q150:Q158)=SUM(AE150:AE158,AI150:AI158), 0, SUM(Q150:Q158)-SUM(AE150:AE158,AI150:AI158))</f>
        <v>0</v>
      </c>
      <c r="AQ158" s="350">
        <f>AM158+AN158+AO158+AP158</f>
        <v>0</v>
      </c>
      <c r="AR158" s="769"/>
      <c r="AS158" s="769"/>
      <c r="AT158" s="769"/>
      <c r="AW158"/>
      <c r="AX158"/>
      <c r="AY158" s="280"/>
      <c r="AZ158"/>
      <c r="BA158"/>
      <c r="BB158"/>
      <c r="BC158"/>
      <c r="BD158"/>
      <c r="BE158"/>
      <c r="BF158"/>
      <c r="BG158" s="280"/>
      <c r="BH158"/>
      <c r="BI158"/>
      <c r="BJ158"/>
      <c r="BK158"/>
      <c r="BL158"/>
      <c r="BM158"/>
      <c r="BN158"/>
      <c r="BO158"/>
      <c r="BS158" s="335"/>
      <c r="BT158" s="335"/>
      <c r="BU158" s="335"/>
      <c r="BV158" s="335"/>
      <c r="BW158" s="335"/>
      <c r="BX158" s="335"/>
      <c r="BY158" s="335"/>
      <c r="BZ158" s="335"/>
      <c r="CA158" s="335"/>
      <c r="CB158" s="335"/>
      <c r="CC158" s="335"/>
      <c r="CD158" s="335"/>
      <c r="CE158" s="335"/>
      <c r="CF158" s="335"/>
      <c r="CG158" s="335"/>
      <c r="CH158" s="335"/>
      <c r="CI158" s="335"/>
    </row>
    <row r="159" spans="1:87" ht="22" customHeight="1">
      <c r="A159" s="181">
        <f t="shared" si="58"/>
        <v>45292</v>
      </c>
      <c r="B159" s="232" t="s">
        <v>74</v>
      </c>
      <c r="C159" s="233" t="s">
        <v>75</v>
      </c>
      <c r="D159" s="234" t="s">
        <v>76</v>
      </c>
      <c r="E159" s="235" t="s">
        <v>11</v>
      </c>
      <c r="F159" s="235" t="s">
        <v>4</v>
      </c>
      <c r="G159" s="235" t="s">
        <v>5</v>
      </c>
      <c r="H159" s="235" t="s">
        <v>6</v>
      </c>
      <c r="I159" s="236" t="s">
        <v>77</v>
      </c>
      <c r="J159" s="306"/>
      <c r="K159" s="501" t="str">
        <f t="shared" si="62"/>
        <v/>
      </c>
      <c r="L159" s="306" t="str">
        <f>IFERROR(VLOOKUP(B160,'Aktuelle Einnahmen'!A2:J104,10,0),"")</f>
        <v/>
      </c>
      <c r="M159" s="510" t="str">
        <f>M149</f>
        <v>Stufe C</v>
      </c>
      <c r="N159" s="468"/>
      <c r="O159" s="238"/>
      <c r="P159" s="238"/>
      <c r="Q159" s="239"/>
      <c r="R159" s="240"/>
      <c r="S159" s="241"/>
      <c r="T159" s="241"/>
      <c r="U159" s="242"/>
      <c r="V159" s="243"/>
      <c r="W159" s="241"/>
      <c r="X159" s="241"/>
      <c r="Y159" s="242"/>
      <c r="Z159" s="243"/>
      <c r="AA159" s="241"/>
      <c r="AB159" s="241"/>
      <c r="AC159" s="242"/>
      <c r="AD159" s="243"/>
      <c r="AE159" s="241"/>
      <c r="AF159" s="241"/>
      <c r="AG159" s="242"/>
      <c r="AH159" s="240"/>
      <c r="AI159" s="241"/>
      <c r="AJ159" s="241"/>
      <c r="AK159" s="377"/>
      <c r="AL159" s="347"/>
      <c r="AM159" s="353"/>
      <c r="AN159" s="353"/>
      <c r="AO159" s="353"/>
      <c r="AP159" s="353"/>
      <c r="AQ159" s="349"/>
      <c r="AR159" s="768"/>
      <c r="AS159" s="768"/>
      <c r="AT159" s="768"/>
      <c r="AW159"/>
      <c r="AX159"/>
      <c r="AY159" s="280"/>
      <c r="AZ159"/>
      <c r="BA159"/>
      <c r="BB159"/>
      <c r="BC159"/>
      <c r="BD159"/>
      <c r="BE159"/>
      <c r="BF159"/>
      <c r="BG159" s="280"/>
      <c r="BH159"/>
      <c r="BI159"/>
      <c r="BJ159"/>
      <c r="BK159"/>
      <c r="BL159"/>
      <c r="BM159"/>
      <c r="BN159"/>
      <c r="BO159"/>
      <c r="BS159" s="335"/>
      <c r="BT159" s="335"/>
      <c r="BU159" s="335"/>
      <c r="BV159" s="335"/>
      <c r="BW159" s="335"/>
      <c r="BX159" s="335"/>
      <c r="BY159" s="335"/>
      <c r="BZ159" s="335"/>
      <c r="CA159" s="335"/>
      <c r="CB159" s="335"/>
      <c r="CC159" s="335"/>
      <c r="CD159" s="335"/>
      <c r="CE159" s="335"/>
      <c r="CF159" s="335"/>
      <c r="CG159" s="335"/>
      <c r="CH159" s="335"/>
      <c r="CI159" s="335"/>
    </row>
    <row r="160" spans="1:87" ht="23" customHeight="1">
      <c r="A160" s="181">
        <f t="shared" si="58"/>
        <v>45292</v>
      </c>
      <c r="B160" s="182">
        <v>16</v>
      </c>
      <c r="C160" s="245">
        <f>IFERROR(VLOOKUP($B160,'Aktuelle Einnahmen'!A2:G104,3,0),"")</f>
        <v>0</v>
      </c>
      <c r="D160" s="246">
        <f>IFERROR(VLOOKUP($B160,'Aktuelle Einnahmen'!A2:G104,2,0),"")</f>
        <v>0</v>
      </c>
      <c r="E160" s="247">
        <f>IFERROR(VLOOKUP($B160,'Aktuelle Einnahmen'!A2:G104,4,0),"")</f>
        <v>0</v>
      </c>
      <c r="F160" s="94">
        <f>IFERROR(VLOOKUP($B160,'Aktuelle Einnahmen'!A2:G104,5,0),"")</f>
        <v>0</v>
      </c>
      <c r="G160" s="94">
        <f>IFERROR(VLOOKUP($B160,'Aktuelle Einnahmen'!A2:G104,6,0),"")</f>
        <v>0</v>
      </c>
      <c r="H160" s="94">
        <f>IFERROR(VLOOKUP($B160,'Aktuelle Einnahmen'!A2:G104,7,0),"")</f>
        <v>0</v>
      </c>
      <c r="I160" s="186" t="e">
        <f>DATE(H160,G160,F160)</f>
        <v>#NUM!</v>
      </c>
      <c r="J160" s="472">
        <f ca="1">J150</f>
        <v>45475</v>
      </c>
      <c r="K160" s="506" t="str">
        <f t="shared" si="62"/>
        <v>+Inflat.-P</v>
      </c>
      <c r="L160" s="1262" t="str">
        <f>IFERROR(VLOOKUP(B160,'Aktuelle Einnahmen'!A12:I114,9,0),"")</f>
        <v>Auswahl treffen</v>
      </c>
      <c r="M160" s="1263"/>
      <c r="N160" s="261"/>
      <c r="O160" s="261"/>
      <c r="P160" s="261"/>
      <c r="Q160" s="261"/>
      <c r="R160" s="189"/>
      <c r="S160" s="190"/>
      <c r="T160" s="190"/>
      <c r="U160" s="191"/>
      <c r="V160" s="192"/>
      <c r="W160" s="190"/>
      <c r="X160" s="190"/>
      <c r="Y160" s="191"/>
      <c r="Z160" s="192"/>
      <c r="AA160" s="190"/>
      <c r="AB160" s="190"/>
      <c r="AC160" s="191"/>
      <c r="AD160" s="192"/>
      <c r="AE160" s="190"/>
      <c r="AF160" s="190"/>
      <c r="AG160" s="191"/>
      <c r="AH160" s="193"/>
      <c r="AI160" s="190"/>
      <c r="AJ160" s="190"/>
      <c r="AK160" s="374"/>
      <c r="AL160" s="348"/>
      <c r="AM160" s="354"/>
      <c r="AN160" s="354"/>
      <c r="AO160" s="354"/>
      <c r="AP160" s="354"/>
      <c r="AQ160" s="350"/>
      <c r="AR160" s="769"/>
      <c r="AS160" s="769"/>
      <c r="AT160" s="769"/>
      <c r="AW160"/>
      <c r="AX160"/>
      <c r="AY160" s="280"/>
      <c r="AZ160"/>
      <c r="BA160"/>
      <c r="BB160"/>
      <c r="BC160"/>
      <c r="BD160"/>
      <c r="BE160"/>
      <c r="BF160"/>
      <c r="BG160" s="280"/>
      <c r="BH160"/>
      <c r="BI160"/>
      <c r="BJ160"/>
      <c r="BK160"/>
      <c r="BL160"/>
      <c r="BM160"/>
      <c r="BN160"/>
      <c r="BO160"/>
      <c r="BS160" s="335"/>
      <c r="BT160" s="335"/>
      <c r="BU160" s="335"/>
      <c r="BV160" s="335"/>
      <c r="BW160" s="335"/>
      <c r="BX160" s="335"/>
      <c r="BY160" s="335"/>
      <c r="BZ160" s="335"/>
      <c r="CA160" s="335"/>
      <c r="CB160" s="335"/>
      <c r="CC160" s="335"/>
      <c r="CD160" s="335"/>
      <c r="CE160" s="335"/>
      <c r="CF160" s="335"/>
      <c r="CG160" s="335"/>
      <c r="CH160" s="335"/>
      <c r="CI160" s="335"/>
    </row>
    <row r="161" spans="1:87" ht="22.25" customHeight="1">
      <c r="A161" s="181">
        <f t="shared" si="58"/>
        <v>45292</v>
      </c>
      <c r="B161" s="484" t="e">
        <f>DAY(I160)</f>
        <v>#NUM!</v>
      </c>
      <c r="C161" s="489" t="s">
        <v>158</v>
      </c>
      <c r="D161" s="520" t="e">
        <f>(I161*4)+J161/3+1</f>
        <v>#NUM!</v>
      </c>
      <c r="E161" s="194" t="e">
        <f>J163+1</f>
        <v>#NUM!</v>
      </c>
      <c r="F161" s="195" t="e">
        <f t="shared" ref="F161:F168" si="66">DAY(E161)</f>
        <v>#NUM!</v>
      </c>
      <c r="G161" s="196" t="e">
        <f t="shared" ref="G161:G168" si="67">MONTH(E161)</f>
        <v>#NUM!</v>
      </c>
      <c r="H161" s="195" t="e">
        <f t="shared" ref="H161:H168" si="68">YEAR(E161)</f>
        <v>#NUM!</v>
      </c>
      <c r="I161" s="197" t="e">
        <f>H161-(H160+2000)</f>
        <v>#NUM!</v>
      </c>
      <c r="J161" s="198" t="e">
        <f>G161-G160</f>
        <v>#NUM!</v>
      </c>
      <c r="K161" s="506" t="str">
        <f>L159</f>
        <v/>
      </c>
      <c r="L161" s="469"/>
      <c r="M161" s="473" t="e">
        <f ca="1">SUM(J160-E162)&amp;" Tage"</f>
        <v>#NUM!</v>
      </c>
      <c r="N161" s="206"/>
      <c r="O161" s="201"/>
      <c r="P161" s="201"/>
      <c r="Q161" s="202"/>
      <c r="R161" s="189"/>
      <c r="S161" s="203"/>
      <c r="T161" s="203"/>
      <c r="U161" s="204"/>
      <c r="V161" s="192"/>
      <c r="W161" s="203"/>
      <c r="X161" s="203"/>
      <c r="Y161" s="204"/>
      <c r="Z161" s="192"/>
      <c r="AA161" s="203"/>
      <c r="AB161" s="203"/>
      <c r="AC161" s="204"/>
      <c r="AD161" s="192"/>
      <c r="AE161" s="203"/>
      <c r="AF161" s="203"/>
      <c r="AG161" s="204"/>
      <c r="AH161" s="193"/>
      <c r="AI161" s="203"/>
      <c r="AJ161" s="203"/>
      <c r="AK161" s="375"/>
      <c r="AL161" s="348"/>
      <c r="AM161" s="354"/>
      <c r="AN161" s="354"/>
      <c r="AO161" s="354"/>
      <c r="AP161" s="354"/>
      <c r="AQ161" s="350"/>
      <c r="AR161" s="769"/>
      <c r="AS161" s="769"/>
      <c r="AT161" s="769"/>
      <c r="AW161"/>
      <c r="AX161"/>
      <c r="AY161" s="280"/>
      <c r="AZ161"/>
      <c r="BA161"/>
      <c r="BB161"/>
      <c r="BC161"/>
      <c r="BD161"/>
      <c r="BE161"/>
      <c r="BF161"/>
      <c r="BG161" s="280"/>
      <c r="BH161"/>
      <c r="BI161"/>
      <c r="BJ161"/>
      <c r="BK161"/>
      <c r="BL161"/>
      <c r="BM161"/>
      <c r="BN161"/>
      <c r="BO161"/>
      <c r="BS161" s="335"/>
      <c r="BT161" s="335"/>
      <c r="BU161" s="335"/>
      <c r="BV161" s="335"/>
      <c r="BW161" s="335"/>
      <c r="BX161" s="335"/>
      <c r="BY161" s="335"/>
      <c r="BZ161" s="335"/>
      <c r="CA161" s="335"/>
      <c r="CB161" s="335"/>
      <c r="CC161" s="335"/>
      <c r="CD161" s="335"/>
      <c r="CE161" s="335"/>
      <c r="CF161" s="335"/>
      <c r="CG161" s="335"/>
      <c r="CH161" s="335"/>
      <c r="CI161" s="335"/>
    </row>
    <row r="162" spans="1:87" ht="22.25" customHeight="1">
      <c r="A162" s="181">
        <f t="shared" si="58"/>
        <v>45292</v>
      </c>
      <c r="B162" s="485"/>
      <c r="C162" s="490"/>
      <c r="D162" s="521"/>
      <c r="E162" s="194" t="e">
        <f>DATE(YEAR(E161),MONTH(E161)+3,DAY(E161)-1)</f>
        <v>#NUM!</v>
      </c>
      <c r="F162" s="195" t="e">
        <f t="shared" si="66"/>
        <v>#NUM!</v>
      </c>
      <c r="G162" s="196" t="e">
        <f t="shared" si="67"/>
        <v>#NUM!</v>
      </c>
      <c r="H162" s="195" t="e">
        <f t="shared" si="68"/>
        <v>#NUM!</v>
      </c>
      <c r="I162" s="244">
        <v>-1</v>
      </c>
      <c r="J162" s="198" t="e">
        <f>F161-F160</f>
        <v>#NUM!</v>
      </c>
      <c r="K162" s="506" t="str">
        <f t="shared" si="62"/>
        <v>+Inflat.-P</v>
      </c>
      <c r="L162" s="511" t="e">
        <f>IF(M159="Stufe A",IF(AND(L160="Auswahl treffen",D161&gt;=0,D161&lt;=1000),J159,IF(AND(L160="Vermögend und ambulant",D161&gt;8,D161&lt;=1000),130,IF(AND(L160="Vermögend und ambulant",D161&gt;4,D161&lt;=8),158,IF(AND(L160="Vermögend und ambulant",D161&gt;2,D161&lt;=4),192,IF(AND(L160="Vermögend und ambulant",D161&gt;1,D161&lt;=2),208,IF(AND(L160="Vermögend und ambulant",D161&gt;0,D161&lt;=1),298,IF(AND(L160="Vermögend und stationär",D161&gt;8,D161&lt;=1000),78,IF(AND(L160="Vermögend und stationär",D161&gt;4,D161&lt;=8),91,IF(AND(L160="Vermögend und stationär",D161&gt;2,D161&lt;=4),140,IF(AND(L160="Vermögend und stationär",D161&gt;1,D161&lt;=2),158,IF(AND(L160="Vermögend und stationär",D161&gt;0,D161&lt;=1),200,IF(AND(L160="Mittellos und ambulant",D161&gt;8,D161&lt;=1000),105,IF(AND(L160="Mittellos und ambulant",D161&gt;4,D161&lt;=8),122,IF(AND(L160="Mittellos und ambulant",D161&gt;2,D161&lt;=4),151,IF(AND(L160="Mittellos und ambulant",D161&gt;1,D161&lt;=2),170,IF(AND(L160="Mittellos und ambulant",D161&gt;0,D161&lt;=1),208,IF(AND(L160="Mittellos und stationär",D161&gt;8,D161&lt;=1000),62,IF(AND(L160="Mittellos und stationär",D161&gt;4,D161&lt;=8),87,IF(AND(L160="Mittellos und stationär",D161&gt;2,D161&lt;=4),124,IF(AND(L160="Mittellos und stationär",D161&gt;1,D161&lt;=2),129,IF(AND(L160="Mittellos und stationär",D161&gt;0,D161&lt;=1),194,""))))))))))))))))))))),IF(M159="Stufe B",IF(AND(L160="Auswahl treffen",D161&gt;=0,D161&lt;=1000),J159,IF(AND(L160="Vermögend und ambulant",D161&gt;8,D161&lt;=1000),161,IF(AND(L160="Vermögend und ambulant",D161&gt;4,D161&lt;=8),196,IF(AND(L160="Vermögend und ambulant",D161&gt;2,D161&lt;=4),238,IF(AND(L160="Vermögend und ambulant",D161&gt;1,D161&lt;=2),258,IF(AND(L160="Vermögend und ambulant",D161&gt;0,D161&lt;=1),370,IF(AND(L160="Vermögend und stationär",D161&gt;8,D161&lt;=1000),96,IF(AND(L160="Vermögend und stationär",D161&gt;4,D161&lt;=8),113,IF(AND(L160="Vermögend und stationär",D161&gt;2,D161&lt;=4),174,IF(AND(L160="Vermögend und stationär",D161&gt;1,D161&lt;=2),196,IF(AND(L160="Vermögend und stationär",D161&gt;0,D161&lt;=1),249,IF(AND(L160="Mittellos und ambulant",D161&gt;8,D161&lt;=1000),130,IF(AND(L160="Mittellos und ambulant",D161&gt;4,D161&lt;=8),151,IF(AND(L160="Mittellos und ambulant",D161&gt;2,D161&lt;=4),188,IF(AND(L160="Mittellos und ambulant",D161&gt;1,D161&lt;=2),211,IF(AND(L160="Mittellos und ambulant",D161&gt;0,D161&lt;=1),258,IF(AND(L160="Mittellos und stationär",D161&gt;8,D161&lt;=1000),78,IF(AND(L160="Mittellos und stationär",D161&gt;4,D161&lt;=8),107,IF(AND(L160="Mittellos und stationär",D161&gt;2,D161&lt;=4),154,IF(AND(L160="Mittellos und stationär",D161&gt;1,D161&lt;=2),158,IF(AND(L160="Mittellos und stationär",D161&gt;0,D161&lt;=1),241,""))))))))))))))))))))),IF(M159="Stufe C",IF(AND(L160="Auswahl treffen",D161&gt;=0,D161&lt;=1000),J159,IF(AND(L160="Vermögend und ambulant",D161&gt;8,D161&lt;=1000),211,IF(AND(L160="Vermögend und ambulant",D161&gt;4,D161&lt;=8),257,IF(AND(L160="Vermögend und ambulant",D161&gt;2,D161&lt;=4),312,IF(AND(L160="Vermögend und ambulant",D161&gt;1,D161&lt;=2),339,IF(AND(L160="Vermögend und ambulant",D161&gt;0,D161&lt;=1),486,IF(AND(L160="Vermögend und stationär",D161&gt;8,D161&lt;=1000),127,IF(AND(L160="Vermögend und stationär",D161&gt;4,D161&lt;=8),149,IF(AND(L160="Vermögend und stationär",D161&gt;2,D161&lt;=4),229,IF(AND(L160="Vermögend und stationär",D161&gt;1,D161&lt;=2),257,IF(AND(L160="Vermögend und stationär",D161&gt;0,D161&lt;=1),327,IF(AND(L160="Mittellos und ambulant",D161&gt;8,D161&lt;=1000),171,IF(AND(L160="Mittellos und ambulant",D161&gt;4,D161&lt;=8),198,IF(AND(L160="Mittellos und ambulant",D161&gt;2,D161&lt;=4),246,IF(AND(L160="Mittellos und ambulant",D161&gt;1,D161&lt;=2),277,IF(AND(L160="Mittellos und ambulant",D161&gt;0,D161&lt;=1),339,IF(AND(L160="Mittellos und stationär",D161&gt;8,D161&lt;=1000),102,IF(AND(L160="Mittellos und stationär",D161&gt;4,D161&lt;=8),141,IF(AND(L160="Mittellos und stationär",D161&gt;2,D161&lt;=4),202,IF(AND(L160="Mittellos und stationär",D161&gt;1,D161&lt;=2),208,IF(AND(L160="Mittellos und stationär",D161&gt;0,D161&lt;=1),317,""))))))))))))))))))))),"")))*3+(J159*90)</f>
        <v>#NUM!</v>
      </c>
      <c r="M162" s="507" t="str">
        <f>CONCATENATE(K162, K161)</f>
        <v>+Inflat.-P</v>
      </c>
      <c r="N162" s="206" t="s">
        <v>118</v>
      </c>
      <c r="O162" s="207"/>
      <c r="P162" s="207"/>
      <c r="Q162" s="208"/>
      <c r="R162" s="187"/>
      <c r="S162" s="209" t="s">
        <v>118</v>
      </c>
      <c r="T162" s="201" t="s">
        <v>117</v>
      </c>
      <c r="U162" s="210" t="s">
        <v>26</v>
      </c>
      <c r="V162" s="192"/>
      <c r="W162" s="203"/>
      <c r="X162" s="203"/>
      <c r="Y162" s="210"/>
      <c r="Z162" s="192"/>
      <c r="AA162" s="203"/>
      <c r="AB162" s="203"/>
      <c r="AC162" s="210"/>
      <c r="AD162" s="192"/>
      <c r="AE162" s="203"/>
      <c r="AF162" s="203"/>
      <c r="AG162" s="210"/>
      <c r="AH162" s="193"/>
      <c r="AI162" s="203"/>
      <c r="AJ162" s="203"/>
      <c r="AK162" s="376"/>
      <c r="AL162" s="348" t="s">
        <v>148</v>
      </c>
      <c r="AM162" s="354">
        <f>IF(SUM(N160:N168)=SUM(S160:S168), 0, SUM(N160:N168)-SUM(S160:S168))</f>
        <v>0</v>
      </c>
      <c r="AN162" s="354"/>
      <c r="AO162" s="354"/>
      <c r="AP162" s="354"/>
      <c r="AQ162" s="350">
        <f>AM162+AN162+AO162+AP162</f>
        <v>0</v>
      </c>
      <c r="AR162" s="769"/>
      <c r="AS162" s="769"/>
      <c r="AT162" s="769"/>
      <c r="AW162"/>
      <c r="AX162"/>
      <c r="AY162" s="280"/>
      <c r="AZ162"/>
      <c r="BA162"/>
      <c r="BB162"/>
      <c r="BC162"/>
      <c r="BD162"/>
      <c r="BE162"/>
      <c r="BF162"/>
      <c r="BG162" s="280"/>
      <c r="BH162"/>
      <c r="BI162"/>
      <c r="BJ162"/>
      <c r="BK162"/>
      <c r="BL162"/>
      <c r="BM162"/>
      <c r="BN162"/>
      <c r="BO162"/>
      <c r="BS162" s="335"/>
      <c r="BT162" s="335"/>
      <c r="BU162" s="335"/>
      <c r="BV162" s="335"/>
      <c r="BW162" s="335"/>
      <c r="BX162" s="335"/>
      <c r="BY162" s="335"/>
      <c r="BZ162" s="335"/>
      <c r="CA162" s="335"/>
      <c r="CB162" s="335"/>
      <c r="CC162" s="335"/>
      <c r="CD162" s="335"/>
      <c r="CE162" s="335"/>
      <c r="CF162" s="335"/>
      <c r="CG162" s="335"/>
      <c r="CH162" s="335"/>
      <c r="CI162" s="335"/>
    </row>
    <row r="163" spans="1:87" ht="22.25" customHeight="1">
      <c r="A163" s="181">
        <f t="shared" si="58"/>
        <v>45292</v>
      </c>
      <c r="B163" s="484" t="e">
        <f>MONTH(I160)</f>
        <v>#NUM!</v>
      </c>
      <c r="C163" s="489" t="s">
        <v>158</v>
      </c>
      <c r="D163" s="522" t="e">
        <f>D161+1</f>
        <v>#NUM!</v>
      </c>
      <c r="E163" s="211" t="e">
        <f>DATE(YEAR(E162),MONTH(E162),DAY(E162)+1)</f>
        <v>#NUM!</v>
      </c>
      <c r="F163" s="212" t="e">
        <f t="shared" si="66"/>
        <v>#NUM!</v>
      </c>
      <c r="G163" s="213" t="e">
        <f t="shared" si="67"/>
        <v>#NUM!</v>
      </c>
      <c r="H163" s="212" t="e">
        <f t="shared" si="68"/>
        <v>#NUM!</v>
      </c>
      <c r="I163" s="214" t="str">
        <f>IF(D160&lt;&gt;0,"-1T","")</f>
        <v/>
      </c>
      <c r="J163" s="215" t="e">
        <f>DATE($B165,I164,$B161)</f>
        <v>#NUM!</v>
      </c>
      <c r="K163" s="501" t="str">
        <f t="shared" si="62"/>
        <v/>
      </c>
      <c r="L163" s="470"/>
      <c r="M163" s="473" t="e">
        <f ca="1">SUM(J160-E164)&amp;" Tage"</f>
        <v>#NUM!</v>
      </c>
      <c r="N163" s="216"/>
      <c r="O163" s="217"/>
      <c r="P163" s="188"/>
      <c r="Q163" s="217"/>
      <c r="R163" s="189"/>
      <c r="S163" s="190"/>
      <c r="T163" s="190"/>
      <c r="U163" s="191"/>
      <c r="V163" s="192"/>
      <c r="W163" s="190"/>
      <c r="X163" s="190"/>
      <c r="Y163" s="191"/>
      <c r="Z163" s="192"/>
      <c r="AA163" s="190"/>
      <c r="AB163" s="190"/>
      <c r="AC163" s="191"/>
      <c r="AD163" s="192"/>
      <c r="AE163" s="190"/>
      <c r="AF163" s="190"/>
      <c r="AG163" s="191"/>
      <c r="AH163" s="193"/>
      <c r="AI163" s="190"/>
      <c r="AJ163" s="190"/>
      <c r="AK163" s="374"/>
      <c r="AL163" s="348"/>
      <c r="AM163" s="354"/>
      <c r="AN163" s="354"/>
      <c r="AO163" s="354"/>
      <c r="AP163" s="354"/>
      <c r="AQ163" s="350"/>
      <c r="AR163" s="769"/>
      <c r="AS163" s="769"/>
      <c r="AT163" s="769"/>
      <c r="AW163"/>
      <c r="AX163"/>
      <c r="AY163" s="280"/>
      <c r="AZ163"/>
      <c r="BA163"/>
      <c r="BB163"/>
      <c r="BC163"/>
      <c r="BD163"/>
      <c r="BE163"/>
      <c r="BF163"/>
      <c r="BG163" s="280"/>
      <c r="BH163"/>
      <c r="BI163"/>
      <c r="BJ163"/>
      <c r="BK163"/>
      <c r="BL163"/>
      <c r="BM163"/>
      <c r="BN163"/>
      <c r="BO163"/>
      <c r="BS163" s="335"/>
      <c r="BT163" s="335"/>
      <c r="BU163" s="335"/>
      <c r="BV163" s="335"/>
      <c r="BW163" s="335"/>
      <c r="BX163" s="335"/>
      <c r="BY163" s="335"/>
      <c r="BZ163" s="335"/>
      <c r="CA163" s="335"/>
      <c r="CB163" s="335"/>
      <c r="CC163" s="335"/>
      <c r="CD163" s="335"/>
      <c r="CE163" s="335"/>
      <c r="CF163" s="335"/>
      <c r="CG163" s="335"/>
      <c r="CH163" s="335"/>
      <c r="CI163" s="335"/>
    </row>
    <row r="164" spans="1:87" ht="22.25" customHeight="1">
      <c r="A164" s="181">
        <f t="shared" si="58"/>
        <v>45292</v>
      </c>
      <c r="B164" s="485"/>
      <c r="C164" s="490"/>
      <c r="D164" s="521"/>
      <c r="E164" s="218" t="e">
        <f>DATE(YEAR(E163),MONTH(E163)+3,DAY(E163)-1)</f>
        <v>#NUM!</v>
      </c>
      <c r="F164" s="212" t="e">
        <f t="shared" si="66"/>
        <v>#NUM!</v>
      </c>
      <c r="G164" s="213" t="e">
        <f t="shared" si="67"/>
        <v>#NUM!</v>
      </c>
      <c r="H164" s="212" t="e">
        <f t="shared" si="68"/>
        <v>#NUM!</v>
      </c>
      <c r="I164" s="219">
        <f>MAX(I165:I168)</f>
        <v>9</v>
      </c>
      <c r="J164" s="220" t="e">
        <f>DATE(YEAR(J163)+1,MONTH(J163),DAY(J163))</f>
        <v>#NUM!</v>
      </c>
      <c r="K164" s="506" t="str">
        <f t="shared" si="62"/>
        <v>+Inflat.-P</v>
      </c>
      <c r="L164" s="508" t="e">
        <f>IF(M159="Stufe A",IF(AND(L160="Auswahl treffen",D163&gt;=0,D163&lt;=1000),J159,IF(AND(L160="Vermögend und ambulant",D163&gt;8,D163&lt;=1000),130,IF(AND(L160="Vermögend und ambulant",D163&gt;4,D163&lt;=8),158,IF(AND(L160="Vermögend und ambulant",D163&gt;2,D163&lt;=4),192,IF(AND(L160="Vermögend und ambulant",D163&gt;1,D163&lt;=2),208,IF(AND(L160="Vermögend und ambulant",D163&gt;0,D163&lt;=1),298,IF(AND(L160="Vermögend und stationär",D163&gt;8,D163&lt;=1000),78,IF(AND(L160="Vermögend und stationär",D163&gt;4,D163&lt;=8),91,IF(AND(L160="Vermögend und stationär",D163&gt;2,D163&lt;=4),140,IF(AND(L160="Vermögend und stationär",D163&gt;1,D163&lt;=2),158,IF(AND(L160="Vermögend und stationär",D163&gt;0,D163&lt;=1),200,IF(AND(L160="Mittellos und ambulant",D163&gt;8,D163&lt;=1000),105,IF(AND(L160="Mittellos und ambulant",D163&gt;4,D163&lt;=8),122,IF(AND(L160="Mittellos und ambulant",D163&gt;2,D163&lt;=4),151,IF(AND(L160="Mittellos und ambulant",D163&gt;1,D163&lt;=2),170,IF(AND(L160="Mittellos und ambulant",D163&gt;0,D163&lt;=1),208,IF(AND(L160="Mittellos und stationär",D163&gt;8,D163&lt;=1000),62,IF(AND(L160="Mittellos und stationär",D163&gt;4,D163&lt;=8),87,IF(AND(L160="Mittellos und stationär",D163&gt;2,D163&lt;=4),124,IF(AND(L160="Mittellos und stationär",D163&gt;1,D163&lt;=2),129,IF(AND(L160="Mittellos und stationär",D163&gt;0,D163&lt;=1),194,""))))))))))))))))))))),IF(M159="Stufe B",IF(AND(L160="Auswahl treffen",D163&gt;=0,D163&lt;=1000),J159,IF(AND(L160="Vermögend und ambulant",D163&gt;8,D163&lt;=1000),161,IF(AND(L160="Vermögend und ambulant",D163&gt;4,D163&lt;=8),196,IF(AND(L160="Vermögend und ambulant",D163&gt;2,D163&lt;=4),238,IF(AND(L160="Vermögend und ambulant",D163&gt;1,D163&lt;=2),258,IF(AND(L160="Vermögend und ambulant",D163&gt;0,D163&lt;=1),370,IF(AND(L160="Vermögend und stationär",D163&gt;8,D163&lt;=1000),96,IF(AND(L160="Vermögend und stationär",D163&gt;4,D163&lt;=8),113,IF(AND(L160="Vermögend und stationär",D163&gt;2,D163&lt;=4),174,IF(AND(L160="Vermögend und stationär",D163&gt;1,D163&lt;=2),196,IF(AND(L160="Vermögend und stationär",D163&gt;0,D163&lt;=1),249,IF(AND(L160="Mittellos und ambulant",D163&gt;8,D163&lt;=1000),130,IF(AND(L160="Mittellos und ambulant",D163&gt;4,D163&lt;=8),151,IF(AND(L160="Mittellos und ambulant",D163&gt;2,D163&lt;=4),188,IF(AND(L160="Mittellos und ambulant",D163&gt;1,D163&lt;=2),211,IF(AND(L160="Mittellos und ambulant",D163&gt;0,D163&lt;=1),258,IF(AND(L160="Mittellos und stationär",D163&gt;8,D163&lt;=1000),78,IF(AND(L160="Mittellos und stationär",D163&gt;4,D163&lt;=8),107,IF(AND(L160="Mittellos und stationär",D163&gt;2,D163&lt;=4),154,IF(AND(L160="Mittellos und stationär",D163&gt;1,D163&lt;=2),158,IF(AND(L160="Mittellos und stationär",D163&gt;0,D163&lt;=1),241,""))))))))))))))))))))),IF(M159="Stufe C",IF(AND(L160="Auswahl treffen",D163&gt;=0,D163&lt;=1000),J159,IF(AND(L160="Vermögend und ambulant",D163&gt;8,D163&lt;=1000),211,IF(AND(L160="Vermögend und ambulant",D163&gt;4,D163&lt;=8),257,IF(AND(L160="Vermögend und ambulant",D163&gt;2,D163&lt;=4),312,IF(AND(L160="Vermögend und ambulant",D163&gt;1,D163&lt;=2),339,IF(AND(L160="Vermögend und ambulant",D163&gt;0,D163&lt;=1),486,IF(AND(L160="Vermögend und stationär",D163&gt;8,D163&lt;=1000),127,IF(AND(L160="Vermögend und stationär",D163&gt;4,D163&lt;=8),149,IF(AND(L160="Vermögend und stationär",D163&gt;2,D163&lt;=4),229,IF(AND(L160="Vermögend und stationär",D163&gt;1,D163&lt;=2),257,IF(AND(L160="Vermögend und stationär",D163&gt;0,D163&lt;=1),327,IF(AND(L160="Mittellos und ambulant",D163&gt;8,D163&lt;=1000),171,IF(AND(L160="Mittellos und ambulant",D163&gt;4,D163&lt;=8),198,IF(AND(L160="Mittellos und ambulant",D163&gt;2,D163&lt;=4),246,IF(AND(L160="Mittellos und ambulant",D163&gt;1,D163&lt;=2),277,IF(AND(L160="Mittellos und ambulant",D163&gt;0,D163&lt;=1),339,IF(AND(L160="Mittellos und stationär",D163&gt;8,D163&lt;=1000),102,IF(AND(L160="Mittellos und stationär",D163&gt;4,D163&lt;=8),141,IF(AND(L160="Mittellos und stationär",D163&gt;2,D163&lt;=4),202,IF(AND(L160="Mittellos und stationär",D163&gt;1,D163&lt;=2),208,IF(AND(L160="Mittellos und stationär",D163&gt;0,D163&lt;=1),317,""))))))))))))))))))))),"")))*3+(J159*90)</f>
        <v>#NUM!</v>
      </c>
      <c r="M164" s="507" t="str">
        <f>CONCATENATE(K164, K163)</f>
        <v>+Inflat.-P</v>
      </c>
      <c r="N164" s="216"/>
      <c r="O164" s="188" t="s">
        <v>118</v>
      </c>
      <c r="P164" s="188"/>
      <c r="Q164" s="221"/>
      <c r="R164" s="199"/>
      <c r="S164" s="190"/>
      <c r="T164" s="190"/>
      <c r="U164" s="191"/>
      <c r="V164" s="192"/>
      <c r="W164" s="222" t="s">
        <v>118</v>
      </c>
      <c r="X164" s="222" t="s">
        <v>117</v>
      </c>
      <c r="Y164" s="191" t="s">
        <v>26</v>
      </c>
      <c r="Z164" s="192"/>
      <c r="AA164" s="190"/>
      <c r="AB164" s="190"/>
      <c r="AC164" s="191"/>
      <c r="AD164" s="192"/>
      <c r="AE164" s="190"/>
      <c r="AF164" s="190"/>
      <c r="AG164" s="191"/>
      <c r="AH164" s="193"/>
      <c r="AI164" s="190"/>
      <c r="AJ164" s="190"/>
      <c r="AK164" s="374"/>
      <c r="AL164" s="348" t="s">
        <v>149</v>
      </c>
      <c r="AM164" s="354"/>
      <c r="AN164" s="354">
        <f>IF(SUM(O160:O168)=SUM(W160:W168), 0, SUM(O160:O168)-SUM(W160:W168))</f>
        <v>0</v>
      </c>
      <c r="AO164" s="354"/>
      <c r="AP164" s="354"/>
      <c r="AQ164" s="350">
        <f>AM164+AN164+AO164+AP164</f>
        <v>0</v>
      </c>
      <c r="AR164" s="769"/>
      <c r="AS164" s="769"/>
      <c r="AT164" s="769"/>
      <c r="AW164"/>
      <c r="AX164"/>
      <c r="AY164" s="280"/>
      <c r="AZ164"/>
      <c r="BA164"/>
      <c r="BB164"/>
      <c r="BC164"/>
      <c r="BD164"/>
      <c r="BE164"/>
      <c r="BF164"/>
      <c r="BG164" s="280"/>
      <c r="BH164"/>
      <c r="BI164"/>
      <c r="BJ164"/>
      <c r="BK164"/>
      <c r="BL164"/>
      <c r="BM164"/>
      <c r="BN164"/>
      <c r="BO164"/>
      <c r="BS164" s="335"/>
      <c r="BT164" s="335"/>
      <c r="BU164" s="335"/>
      <c r="BV164" s="335"/>
      <c r="BW164" s="335"/>
      <c r="BX164" s="335"/>
      <c r="BY164" s="335"/>
      <c r="BZ164" s="335"/>
      <c r="CA164" s="335"/>
      <c r="CB164" s="335"/>
      <c r="CC164" s="335"/>
      <c r="CD164" s="335"/>
      <c r="CE164" s="335"/>
      <c r="CF164" s="335"/>
      <c r="CG164" s="335"/>
      <c r="CH164" s="335"/>
      <c r="CI164" s="335"/>
    </row>
    <row r="165" spans="1:87" ht="22.25" customHeight="1">
      <c r="A165" s="181">
        <f t="shared" si="58"/>
        <v>45292</v>
      </c>
      <c r="B165" s="484">
        <f>YEAR($A166)-1</f>
        <v>2023</v>
      </c>
      <c r="C165" s="489" t="s">
        <v>158</v>
      </c>
      <c r="D165" s="520" t="e">
        <f>D163+1</f>
        <v>#NUM!</v>
      </c>
      <c r="E165" s="194" t="e">
        <f>DATE(YEAR(E164),MONTH(E164),DAY(E164)+1)</f>
        <v>#NUM!</v>
      </c>
      <c r="F165" s="195" t="e">
        <f t="shared" si="66"/>
        <v>#NUM!</v>
      </c>
      <c r="G165" s="196" t="e">
        <f t="shared" si="67"/>
        <v>#NUM!</v>
      </c>
      <c r="H165" s="195" t="e">
        <f t="shared" si="68"/>
        <v>#NUM!</v>
      </c>
      <c r="I165" s="197">
        <f>IF(J167&lt;13,J167,"")</f>
        <v>9</v>
      </c>
      <c r="J165" s="224">
        <f>G160</f>
        <v>0</v>
      </c>
      <c r="K165" s="501" t="str">
        <f t="shared" si="62"/>
        <v/>
      </c>
      <c r="L165" s="471"/>
      <c r="M165" s="473" t="e">
        <f ca="1">SUM(J160-E166)&amp;" Tage"</f>
        <v>#NUM!</v>
      </c>
      <c r="N165" s="200"/>
      <c r="O165" s="201"/>
      <c r="P165" s="201"/>
      <c r="Q165" s="202"/>
      <c r="R165" s="189"/>
      <c r="S165" s="203"/>
      <c r="T165" s="203"/>
      <c r="U165" s="204"/>
      <c r="V165" s="192"/>
      <c r="W165" s="203"/>
      <c r="X165" s="203"/>
      <c r="Y165" s="204"/>
      <c r="Z165" s="192"/>
      <c r="AA165" s="203"/>
      <c r="AB165" s="203"/>
      <c r="AC165" s="204"/>
      <c r="AD165" s="192"/>
      <c r="AE165" s="203"/>
      <c r="AF165" s="203"/>
      <c r="AG165" s="204"/>
      <c r="AH165" s="193"/>
      <c r="AI165" s="203"/>
      <c r="AJ165" s="203"/>
      <c r="AK165" s="375"/>
      <c r="AL165" s="348"/>
      <c r="AM165" s="354"/>
      <c r="AN165" s="354"/>
      <c r="AO165" s="354"/>
      <c r="AP165" s="354"/>
      <c r="AQ165" s="350"/>
      <c r="AR165" s="769"/>
      <c r="AS165" s="769"/>
      <c r="AT165" s="769"/>
      <c r="AW165"/>
      <c r="AX165"/>
      <c r="AY165" s="280"/>
      <c r="AZ165"/>
      <c r="BA165"/>
      <c r="BB165"/>
      <c r="BC165"/>
      <c r="BD165"/>
      <c r="BE165"/>
      <c r="BF165"/>
      <c r="BG165" s="280"/>
      <c r="BH165"/>
      <c r="BI165"/>
      <c r="BJ165"/>
      <c r="BK165"/>
      <c r="BL165"/>
      <c r="BM165"/>
      <c r="BN165"/>
      <c r="BO165"/>
      <c r="BS165" s="335"/>
      <c r="BT165" s="335"/>
      <c r="BU165" s="335"/>
      <c r="BV165" s="335"/>
      <c r="BW165" s="335"/>
      <c r="BX165" s="335"/>
      <c r="BY165" s="335"/>
      <c r="BZ165" s="335"/>
      <c r="CA165" s="335"/>
      <c r="CB165" s="335"/>
      <c r="CC165" s="335"/>
      <c r="CD165" s="335"/>
      <c r="CE165" s="335"/>
      <c r="CF165" s="335"/>
      <c r="CG165" s="335"/>
      <c r="CH165" s="335"/>
      <c r="CI165" s="335"/>
    </row>
    <row r="166" spans="1:87" ht="22.25" customHeight="1">
      <c r="A166" s="181">
        <f t="shared" si="58"/>
        <v>45292</v>
      </c>
      <c r="B166" s="485"/>
      <c r="C166" s="490"/>
      <c r="D166" s="521"/>
      <c r="E166" s="194" t="e">
        <f>DATE(YEAR(E165),MONTH(E165)+3,DAY(E165)-1)</f>
        <v>#NUM!</v>
      </c>
      <c r="F166" s="195" t="e">
        <f t="shared" si="66"/>
        <v>#NUM!</v>
      </c>
      <c r="G166" s="196" t="e">
        <f t="shared" si="67"/>
        <v>#NUM!</v>
      </c>
      <c r="H166" s="195" t="e">
        <f t="shared" si="68"/>
        <v>#NUM!</v>
      </c>
      <c r="I166" s="244">
        <f>IF(J168&lt;13,J168,"")</f>
        <v>6</v>
      </c>
      <c r="J166" s="224">
        <f>J165+3</f>
        <v>3</v>
      </c>
      <c r="K166" s="501" t="str">
        <f t="shared" si="62"/>
        <v>+Inflat.-P</v>
      </c>
      <c r="L166" s="511" t="e">
        <f>IF(M159="Stufe A",IF(AND(L160="Auswahl treffen",D165&gt;=0,D165&lt;=1000),J159,IF(AND(L160="Vermögend und ambulant",D165&gt;8,D165&lt;=1000),130,IF(AND(L160="Vermögend und ambulant",D165&gt;4,D165&lt;=8),158,IF(AND(L160="Vermögend und ambulant",D165&gt;2,D165&lt;=4),192,IF(AND(L160="Vermögend und ambulant",D165&gt;1,D165&lt;=2),208,IF(AND(L160="Vermögend und ambulant",D165&gt;0,D165&lt;=1),298,IF(AND(L160="Vermögend und stationär",D165&gt;8,D165&lt;=1000),78,IF(AND(L160="Vermögend und stationär",D165&gt;4,D165&lt;=8),91,IF(AND(L160="Vermögend und stationär",D165&gt;2,D165&lt;=4),140,IF(AND(L160="Vermögend und stationär",D165&gt;1,D165&lt;=2),158,IF(AND(L160="Vermögend und stationär",D165&gt;0,D165&lt;=1),200,IF(AND(L160="Mittellos und ambulant",D165&gt;8,D165&lt;=1000),105,IF(AND(L160="Mittellos und ambulant",D165&gt;4,D165&lt;=8),122,IF(AND(L160="Mittellos und ambulant",D165&gt;2,D165&lt;=4),151,IF(AND(L160="Mittellos und ambulant",D165&gt;1,D165&lt;=2),170,IF(AND(L160="Mittellos und ambulant",D165&gt;0,D165&lt;=1),208,IF(AND(L160="Mittellos und stationär",D165&gt;8,D165&lt;=1000),62,IF(AND(L160="Mittellos und stationär",D165&gt;4,D165&lt;=8),87,IF(AND(L160="Mittellos und stationär",D165&gt;2,D165&lt;=4),124,IF(AND(L160="Mittellos und stationär",D165&gt;1,D165&lt;=2),129,IF(AND(L160="Mittellos und stationär",D165&gt;0,D165&lt;=1),194,""))))))))))))))))))))),IF(M159="Stufe B",IF(AND(L160="Auswahl treffen",D165&gt;=0,D165&lt;=1000),J159,IF(AND(L160="Vermögend und ambulant",D165&gt;8,D165&lt;=1000),161,IF(AND(L160="Vermögend und ambulant",D165&gt;4,D165&lt;=8),196,IF(AND(L160="Vermögend und ambulant",D165&gt;2,D165&lt;=4),238,IF(AND(L160="Vermögend und ambulant",D165&gt;1,D165&lt;=2),258,IF(AND(L160="Vermögend und ambulant",D165&gt;0,D165&lt;=1),370,IF(AND(L160="Vermögend und stationär",D165&gt;8,D165&lt;=1000),96,IF(AND(L160="Vermögend und stationär",D165&gt;4,D165&lt;=8),113,IF(AND(L160="Vermögend und stationär",D165&gt;2,D165&lt;=4),174,IF(AND(L160="Vermögend und stationär",D165&gt;1,D165&lt;=2),196,IF(AND(L160="Vermögend und stationär",D165&gt;0,D165&lt;=1),249,IF(AND(L160="Mittellos und ambulant",D165&gt;8,D165&lt;=1000),130,IF(AND(L160="Mittellos und ambulant",D165&gt;4,D165&lt;=8),151,IF(AND(L160="Mittellos und ambulant",D165&gt;2,D165&lt;=4),188,IF(AND(L160="Mittellos und ambulant",D165&gt;1,D165&lt;=2),211,IF(AND(L160="Mittellos und ambulant",D165&gt;0,D165&lt;=1),258,IF(AND(L160="Mittellos und stationär",D165&gt;8,D165&lt;=1000),78,IF(AND(L160="Mittellos und stationär",D165&gt;4,D165&lt;=8),107,IF(AND(L160="Mittellos und stationär",D165&gt;2,D165&lt;=4),154,IF(AND(L160="Mittellos und stationär",D165&gt;1,D165&lt;=2),158,IF(AND(L160="Mittellos und stationär",D165&gt;0,D165&lt;=1),241,""))))))))))))))))))))),IF(M159="Stufe C",IF(AND(L160="Auswahl treffen",D165&gt;=0,D165&lt;=1000),J159,IF(AND(L160="Vermögend und ambulant",D165&gt;8,D165&lt;=1000),211,IF(AND(L160="Vermögend und ambulant",D165&gt;4,D165&lt;=8),257,IF(AND(L160="Vermögend und ambulant",D165&gt;2,D165&lt;=4),312,IF(AND(L160="Vermögend und ambulant",D165&gt;1,D165&lt;=2),339,IF(AND(L160="Vermögend und ambulant",D165&gt;0,D165&lt;=1),486,IF(AND(L160="Vermögend und stationär",D165&gt;8,D165&lt;=1000),127,IF(AND(L160="Vermögend und stationär",D165&gt;4,D165&lt;=8),149,IF(AND(L160="Vermögend und stationär",D165&gt;2,D165&lt;=4),229,IF(AND(L160="Vermögend und stationär",D165&gt;1,D165&lt;=2),257,IF(AND(L160="Vermögend und stationär",D165&gt;0,D165&lt;=1),327,IF(AND(L160="Mittellos und ambulant",D165&gt;8,D165&lt;=1000),171,IF(AND(L160="Mittellos und ambulant",D165&gt;4,D165&lt;=8),198,IF(AND(L160="Mittellos und ambulant",D165&gt;2,D165&lt;=4),246,IF(AND(L160="Mittellos und ambulant",D165&gt;1,D165&lt;=2),277,IF(AND(L160="Mittellos und ambulant",D165&gt;0,D165&lt;=1),339,IF(AND(L160="Mittellos und stationär",D165&gt;8,D165&lt;=1000),102,IF(AND(L160="Mittellos und stationär",D165&gt;4,D165&lt;=8),141,IF(AND(L160="Mittellos und stationär",D165&gt;2,D165&lt;=4),202,IF(AND(L160="Mittellos und stationär",D165&gt;1,D165&lt;=2),208,IF(AND(L160="Mittellos und stationär",D165&gt;0,D165&lt;=1),317,""))))))))))))))))))))),"")))*3+(J159*90)</f>
        <v>#NUM!</v>
      </c>
      <c r="M166" s="507" t="str">
        <f>CONCATENATE(K166, K165)</f>
        <v>+Inflat.-P</v>
      </c>
      <c r="N166" s="206"/>
      <c r="O166" s="207"/>
      <c r="P166" s="206" t="s">
        <v>118</v>
      </c>
      <c r="Q166" s="226"/>
      <c r="R166" s="189"/>
      <c r="S166" s="203"/>
      <c r="T166" s="203"/>
      <c r="U166" s="204"/>
      <c r="V166" s="192"/>
      <c r="W166" s="203"/>
      <c r="X166" s="203"/>
      <c r="Y166" s="204"/>
      <c r="Z166" s="192"/>
      <c r="AA166" s="209" t="s">
        <v>118</v>
      </c>
      <c r="AB166" s="209" t="s">
        <v>117</v>
      </c>
      <c r="AC166" s="204" t="s">
        <v>26</v>
      </c>
      <c r="AD166" s="192"/>
      <c r="AE166" s="203"/>
      <c r="AF166" s="203"/>
      <c r="AG166" s="204"/>
      <c r="AH166" s="193"/>
      <c r="AI166" s="203"/>
      <c r="AJ166" s="203"/>
      <c r="AK166" s="375"/>
      <c r="AL166" s="348" t="s">
        <v>150</v>
      </c>
      <c r="AM166" s="354"/>
      <c r="AN166" s="354"/>
      <c r="AO166" s="354">
        <f>IF(SUM(P160:P168)=SUM(AA160:AA168), 0, SUM(P160:P168)-SUM(AA160:AA168))</f>
        <v>0</v>
      </c>
      <c r="AP166" s="354"/>
      <c r="AQ166" s="350">
        <f>AM166+AN166+AO166+AP166</f>
        <v>0</v>
      </c>
      <c r="AR166" s="769"/>
      <c r="AS166" s="769"/>
      <c r="AT166" s="769"/>
      <c r="AW166"/>
      <c r="AX166"/>
      <c r="AY166" s="280"/>
      <c r="AZ166"/>
      <c r="BA166"/>
      <c r="BB166"/>
      <c r="BC166"/>
      <c r="BD166"/>
      <c r="BE166"/>
      <c r="BF166"/>
      <c r="BG166" s="280"/>
      <c r="BH166"/>
      <c r="BI166"/>
      <c r="BJ166"/>
      <c r="BK166"/>
      <c r="BL166"/>
      <c r="BM166"/>
      <c r="BN166"/>
      <c r="BO166"/>
      <c r="BS166" s="335"/>
      <c r="BT166" s="335"/>
      <c r="BU166" s="335"/>
      <c r="BV166" s="335"/>
      <c r="BW166" s="335"/>
      <c r="BX166" s="335"/>
      <c r="BY166" s="335"/>
      <c r="BZ166" s="335"/>
      <c r="CA166" s="335"/>
      <c r="CB166" s="335"/>
      <c r="CC166" s="335"/>
      <c r="CD166" s="335"/>
      <c r="CE166" s="335"/>
      <c r="CF166" s="335"/>
      <c r="CG166" s="335"/>
      <c r="CH166" s="335"/>
      <c r="CI166" s="335"/>
    </row>
    <row r="167" spans="1:87" ht="22.25" customHeight="1">
      <c r="A167" s="181">
        <f t="shared" si="58"/>
        <v>45292</v>
      </c>
      <c r="B167" s="486"/>
      <c r="C167" s="489" t="s">
        <v>158</v>
      </c>
      <c r="D167" s="522" t="e">
        <f>D165+1</f>
        <v>#NUM!</v>
      </c>
      <c r="E167" s="211" t="e">
        <f>DATE(YEAR(E166),MONTH(E166),DAY(E166)+1)</f>
        <v>#NUM!</v>
      </c>
      <c r="F167" s="227" t="e">
        <f t="shared" si="66"/>
        <v>#NUM!</v>
      </c>
      <c r="G167" s="228" t="e">
        <f t="shared" si="67"/>
        <v>#NUM!</v>
      </c>
      <c r="H167" s="227" t="e">
        <f t="shared" si="68"/>
        <v>#NUM!</v>
      </c>
      <c r="I167" s="231">
        <f>IF(J166&lt;13,J166,"")</f>
        <v>3</v>
      </c>
      <c r="J167" s="230">
        <f>J168+3</f>
        <v>9</v>
      </c>
      <c r="K167" s="506" t="str">
        <f t="shared" si="62"/>
        <v/>
      </c>
      <c r="L167" s="471"/>
      <c r="M167" s="473" t="e">
        <f ca="1">SUM(J160-E168)&amp;" Tage"</f>
        <v>#NUM!</v>
      </c>
      <c r="N167" s="216"/>
      <c r="O167" s="188"/>
      <c r="P167" s="188"/>
      <c r="Q167" s="217"/>
      <c r="R167" s="189"/>
      <c r="S167" s="190"/>
      <c r="T167" s="190"/>
      <c r="U167" s="191"/>
      <c r="V167" s="192"/>
      <c r="W167" s="190"/>
      <c r="X167" s="190"/>
      <c r="Y167" s="191"/>
      <c r="Z167" s="192"/>
      <c r="AA167" s="190"/>
      <c r="AB167" s="190"/>
      <c r="AC167" s="191"/>
      <c r="AD167" s="192"/>
      <c r="AE167" s="190"/>
      <c r="AF167" s="190"/>
      <c r="AG167" s="191"/>
      <c r="AH167" s="193"/>
      <c r="AI167" s="190"/>
      <c r="AJ167" s="190"/>
      <c r="AK167" s="374"/>
      <c r="AL167" s="348"/>
      <c r="AM167" s="354"/>
      <c r="AN167" s="354"/>
      <c r="AO167" s="354"/>
      <c r="AP167" s="354"/>
      <c r="AQ167" s="350"/>
      <c r="AR167" s="769"/>
      <c r="AS167" s="769"/>
      <c r="AT167" s="769"/>
      <c r="AW167"/>
      <c r="AX167"/>
      <c r="AY167" s="280"/>
      <c r="AZ167"/>
      <c r="BA167"/>
      <c r="BB167"/>
      <c r="BC167"/>
      <c r="BD167"/>
      <c r="BE167"/>
      <c r="BF167"/>
      <c r="BG167" s="280"/>
      <c r="BH167"/>
      <c r="BI167"/>
      <c r="BJ167"/>
      <c r="BK167"/>
      <c r="BL167"/>
      <c r="BM167"/>
      <c r="BN167"/>
      <c r="BO167"/>
      <c r="BS167" s="335"/>
      <c r="BT167" s="335"/>
      <c r="BU167" s="335"/>
      <c r="BV167" s="335"/>
      <c r="BW167" s="335"/>
      <c r="BX167" s="335"/>
      <c r="BY167" s="335"/>
      <c r="BZ167" s="335"/>
      <c r="CA167" s="335"/>
      <c r="CB167" s="335"/>
      <c r="CC167" s="335"/>
      <c r="CD167" s="335"/>
      <c r="CE167" s="335"/>
      <c r="CF167" s="335"/>
      <c r="CG167" s="335"/>
      <c r="CH167" s="335"/>
      <c r="CI167" s="335"/>
    </row>
    <row r="168" spans="1:87" ht="22.25" customHeight="1">
      <c r="A168" s="181">
        <f t="shared" si="58"/>
        <v>45292</v>
      </c>
      <c r="B168" s="485"/>
      <c r="C168" s="490"/>
      <c r="D168" s="521"/>
      <c r="E168" s="218" t="e">
        <f>DATE(YEAR(E167),MONTH(E167)+3,DAY(E167)-1)</f>
        <v>#NUM!</v>
      </c>
      <c r="F168" s="227" t="e">
        <f t="shared" si="66"/>
        <v>#NUM!</v>
      </c>
      <c r="G168" s="228" t="e">
        <f t="shared" si="67"/>
        <v>#NUM!</v>
      </c>
      <c r="H168" s="227" t="e">
        <f t="shared" si="68"/>
        <v>#NUM!</v>
      </c>
      <c r="I168" s="231">
        <f>IF(J165&lt;13,J165,"")</f>
        <v>0</v>
      </c>
      <c r="J168" s="230">
        <f>J166+3</f>
        <v>6</v>
      </c>
      <c r="K168" s="501" t="str">
        <f t="shared" si="62"/>
        <v>+Inflat.-P</v>
      </c>
      <c r="L168" s="508" t="e">
        <f>IF(M159="Stufe A",IF(AND(L160="Auswahl treffen",D167&gt;=0,D167&lt;=1000),J159,IF(AND(L160="Vermögend und ambulant",D167&gt;8,D167&lt;=1000),130,IF(AND(L160="Vermögend und ambulant",D167&gt;4,D167&lt;=8),158,IF(AND(L160="Vermögend und ambulant",D167&gt;2,D167&lt;=4),192,IF(AND(L160="Vermögend und ambulant",D167&gt;1,D167&lt;=2),208,IF(AND(L160="Vermögend und ambulant",D167&gt;0,D167&lt;=1),298,IF(AND(L160="Vermögend und stationär",D167&gt;8,D167&lt;=1000),78,IF(AND(L160="Vermögend und stationär",D167&gt;4,D167&lt;=8),91,IF(AND(L160="Vermögend und stationär",D167&gt;2,D167&lt;=4),140,IF(AND(L160="Vermögend und stationär",D167&gt;1,D167&lt;=2),158,IF(AND(L160="Vermögend und stationär",D167&gt;0,D167&lt;=1),200,IF(AND(L160="Mittellos und ambulant",D167&gt;8,D167&lt;=1000),105,IF(AND(L160="Mittellos und ambulant",D167&gt;4,D167&lt;=8),122,IF(AND(L160="Mittellos und ambulant",D167&gt;2,D167&lt;=4),151,IF(AND(L160="Mittellos und ambulant",D167&gt;1,D167&lt;=2),170,IF(AND(L160="Mittellos und ambulant",D167&gt;0,D167&lt;=1),208,IF(AND(L160="Mittellos und stationär",D167&gt;8,D167&lt;=1000),62,IF(AND(L160="Mittellos und stationär",D167&gt;4,D167&lt;=8),87,IF(AND(L160="Mittellos und stationär",D167&gt;2,D167&lt;=4),124,IF(AND(L160="Mittellos und stationär",D167&gt;1,D167&lt;=2),129,IF(AND(L160="Mittellos und stationär",D167&gt;0,D167&lt;=1),194,""))))))))))))))))))))),IF(M159="Stufe B",IF(AND(L160="Auswahl treffen",D167&gt;=0,D167&lt;=1000),J159,IF(AND(L160="Vermögend und ambulant",D167&gt;8,D167&lt;=1000),161,IF(AND(L160="Vermögend und ambulant",D167&gt;4,D167&lt;=8),196,IF(AND(L160="Vermögend und ambulant",D167&gt;2,D167&lt;=4),238,IF(AND(L160="Vermögend und ambulant",D167&gt;1,D167&lt;=2),258,IF(AND(L160="Vermögend und ambulant",D167&gt;0,D167&lt;=1),370,IF(AND(L160="Vermögend und stationär",D167&gt;8,D167&lt;=1000),96,IF(AND(L160="Vermögend und stationär",D167&gt;4,D167&lt;=8),113,IF(AND(L160="Vermögend und stationär",D167&gt;2,D167&lt;=4),174,IF(AND(L160="Vermögend und stationär",D167&gt;1,D167&lt;=2),196,IF(AND(L160="Vermögend und stationär",D167&gt;0,D167&lt;=1),249,IF(AND(L160="Mittellos und ambulant",D167&gt;8,D167&lt;=1000),130,IF(AND(L160="Mittellos und ambulant",D167&gt;4,D167&lt;=8),151,IF(AND(L160="Mittellos und ambulant",D167&gt;2,D167&lt;=4),188,IF(AND(L160="Mittellos und ambulant",D167&gt;1,D167&lt;=2),211,IF(AND(L160="Mittellos und ambulant",D167&gt;0,D167&lt;=1),258,IF(AND(L160="Mittellos und stationär",D167&gt;8,D167&lt;=1000),78,IF(AND(L160="Mittellos und stationär",D167&gt;4,D167&lt;=8),107,IF(AND(L160="Mittellos und stationär",D167&gt;2,D167&lt;=4),154,IF(AND(L160="Mittellos und stationär",D167&gt;1,D167&lt;=2),158,IF(AND(L160="Mittellos und stationär",D167&gt;0,D167&lt;=1),241,""))))))))))))))))))))),IF(M159="Stufe C",IF(AND(L160="Auswahl treffen",D167&gt;=0,D167&lt;=1000),J159,IF(AND(L160="Vermögend und ambulant",D167&gt;8,D167&lt;=1000),211,IF(AND(L160="Vermögend und ambulant",D167&gt;4,D167&lt;=8),257,IF(AND(L160="Vermögend und ambulant",D167&gt;2,D167&lt;=4),312,IF(AND(L160="Vermögend und ambulant",D167&gt;1,D167&lt;=2),339,IF(AND(L160="Vermögend und ambulant",D167&gt;0,D167&lt;=1),486,IF(AND(L160="Vermögend und stationär",D167&gt;8,D167&lt;=1000),127,IF(AND(L160="Vermögend und stationär",D167&gt;4,D167&lt;=8),149,IF(AND(L160="Vermögend und stationär",D167&gt;2,D167&lt;=4),229,IF(AND(L160="Vermögend und stationär",D167&gt;1,D167&lt;=2),257,IF(AND(L160="Vermögend und stationär",D167&gt;0,D167&lt;=1),327,IF(AND(L160="Mittellos und ambulant",D167&gt;8,D167&lt;=1000),171,IF(AND(L160="Mittellos und ambulant",D167&gt;4,D167&lt;=8),198,IF(AND(L160="Mittellos und ambulant",D167&gt;2,D167&lt;=4),246,IF(AND(L160="Mittellos und ambulant",D167&gt;1,D167&lt;=2),277,IF(AND(L160="Mittellos und ambulant",D167&gt;0,D167&lt;=1),339,IF(AND(L160="Mittellos und stationär",D167&gt;8,D167&lt;=1000),102,IF(AND(L160="Mittellos und stationär",D167&gt;4,D167&lt;=8),141,IF(AND(L160="Mittellos und stationär",D167&gt;2,D167&lt;=4),202,IF(AND(L160="Mittellos und stationär",D167&gt;1,D167&lt;=2),208,IF(AND(L160="Mittellos und stationär",D167&gt;0,D167&lt;=1),317,""))))))))))))))))))))),"")))*3+(J159*90)</f>
        <v>#NUM!</v>
      </c>
      <c r="M168" s="507" t="str">
        <f>CONCATENATE(K168, K167)</f>
        <v>+Inflat.-P</v>
      </c>
      <c r="N168" s="216"/>
      <c r="O168" s="188"/>
      <c r="P168" s="188"/>
      <c r="Q168" s="217" t="s">
        <v>118</v>
      </c>
      <c r="R168" s="189"/>
      <c r="S168" s="190"/>
      <c r="T168" s="190"/>
      <c r="U168" s="191"/>
      <c r="V168" s="192"/>
      <c r="W168" s="190"/>
      <c r="X168" s="190"/>
      <c r="Y168" s="191"/>
      <c r="Z168" s="192"/>
      <c r="AA168" s="190"/>
      <c r="AB168" s="190"/>
      <c r="AC168" s="191"/>
      <c r="AD168" s="192"/>
      <c r="AE168" s="190" t="s">
        <v>118</v>
      </c>
      <c r="AF168" s="190" t="s">
        <v>117</v>
      </c>
      <c r="AG168" s="191" t="s">
        <v>26</v>
      </c>
      <c r="AH168" s="193"/>
      <c r="AI168" s="190" t="s">
        <v>118</v>
      </c>
      <c r="AJ168" s="190" t="s">
        <v>117</v>
      </c>
      <c r="AK168" s="374" t="s">
        <v>26</v>
      </c>
      <c r="AL168" s="348" t="s">
        <v>151</v>
      </c>
      <c r="AM168" s="354"/>
      <c r="AN168" s="354"/>
      <c r="AO168" s="354"/>
      <c r="AP168" s="354">
        <f>IF(SUM(Q160:Q168)=SUM(AE160:AE168,AI160:AI168), 0, SUM(Q160:Q168)-SUM(AE160:AE168,AI160:AI168))</f>
        <v>0</v>
      </c>
      <c r="AQ168" s="350">
        <f>AM168+AN168+AO168+AP168</f>
        <v>0</v>
      </c>
      <c r="AR168" s="769"/>
      <c r="AS168" s="769"/>
      <c r="AT168" s="769"/>
      <c r="AW168"/>
      <c r="AX168"/>
      <c r="AY168" s="280"/>
      <c r="AZ168"/>
      <c r="BA168"/>
      <c r="BB168"/>
      <c r="BC168"/>
      <c r="BD168"/>
      <c r="BE168"/>
      <c r="BF168"/>
      <c r="BG168" s="280"/>
      <c r="BH168"/>
      <c r="BI168"/>
      <c r="BJ168"/>
      <c r="BK168"/>
      <c r="BL168"/>
      <c r="BM168"/>
      <c r="BN168"/>
      <c r="BO168"/>
      <c r="BS168" s="335"/>
      <c r="BT168" s="335"/>
      <c r="BU168" s="335"/>
      <c r="BV168" s="335"/>
      <c r="BW168" s="335"/>
      <c r="BX168" s="335"/>
      <c r="BY168" s="335"/>
      <c r="BZ168" s="335"/>
      <c r="CA168" s="335"/>
      <c r="CB168" s="335"/>
      <c r="CC168" s="335"/>
      <c r="CD168" s="335"/>
      <c r="CE168" s="335"/>
      <c r="CF168" s="335"/>
      <c r="CG168" s="335"/>
      <c r="CH168" s="335"/>
      <c r="CI168" s="335"/>
    </row>
    <row r="169" spans="1:87" ht="22" customHeight="1">
      <c r="A169" s="181">
        <f t="shared" si="58"/>
        <v>45292</v>
      </c>
      <c r="B169" s="232" t="s">
        <v>74</v>
      </c>
      <c r="C169" s="233" t="s">
        <v>75</v>
      </c>
      <c r="D169" s="234" t="s">
        <v>76</v>
      </c>
      <c r="E169" s="235" t="s">
        <v>11</v>
      </c>
      <c r="F169" s="235" t="s">
        <v>4</v>
      </c>
      <c r="G169" s="235" t="s">
        <v>5</v>
      </c>
      <c r="H169" s="235" t="s">
        <v>6</v>
      </c>
      <c r="I169" s="236" t="s">
        <v>77</v>
      </c>
      <c r="J169" s="306"/>
      <c r="K169" s="506" t="str">
        <f t="shared" si="62"/>
        <v/>
      </c>
      <c r="L169" s="306" t="str">
        <f>IFERROR(VLOOKUP(B170,'Aktuelle Einnahmen'!A2:J104,10,0),"")</f>
        <v/>
      </c>
      <c r="M169" s="510" t="str">
        <f>M159</f>
        <v>Stufe C</v>
      </c>
      <c r="N169" s="237"/>
      <c r="O169" s="238"/>
      <c r="P169" s="238"/>
      <c r="Q169" s="239"/>
      <c r="R169" s="240"/>
      <c r="S169" s="241"/>
      <c r="T169" s="241"/>
      <c r="U169" s="242"/>
      <c r="V169" s="243"/>
      <c r="W169" s="241"/>
      <c r="X169" s="241"/>
      <c r="Y169" s="242"/>
      <c r="Z169" s="243"/>
      <c r="AA169" s="241"/>
      <c r="AB169" s="241"/>
      <c r="AC169" s="242"/>
      <c r="AD169" s="243"/>
      <c r="AE169" s="241"/>
      <c r="AF169" s="241"/>
      <c r="AG169" s="242"/>
      <c r="AH169" s="240"/>
      <c r="AI169" s="241"/>
      <c r="AJ169" s="241"/>
      <c r="AK169" s="377"/>
      <c r="AL169" s="347"/>
      <c r="AM169" s="353"/>
      <c r="AN169" s="353"/>
      <c r="AO169" s="353"/>
      <c r="AP169" s="353"/>
      <c r="AQ169" s="349"/>
      <c r="AR169" s="768"/>
      <c r="AS169" s="768"/>
      <c r="AT169" s="768"/>
      <c r="AW169"/>
      <c r="AX169"/>
      <c r="AY169" s="280"/>
      <c r="AZ169"/>
      <c r="BA169"/>
      <c r="BB169"/>
      <c r="BC169"/>
      <c r="BD169"/>
      <c r="BE169"/>
      <c r="BF169"/>
      <c r="BG169" s="280"/>
      <c r="BH169"/>
      <c r="BI169"/>
      <c r="BJ169"/>
      <c r="BK169"/>
      <c r="BL169"/>
      <c r="BM169"/>
      <c r="BN169"/>
      <c r="BO169"/>
      <c r="BS169" s="335"/>
      <c r="BT169" s="335"/>
      <c r="BU169" s="335"/>
      <c r="BV169" s="335"/>
      <c r="BW169" s="335"/>
      <c r="BX169" s="335"/>
      <c r="BY169" s="335"/>
      <c r="BZ169" s="335"/>
      <c r="CA169" s="335"/>
      <c r="CB169" s="335"/>
      <c r="CC169" s="335"/>
      <c r="CD169" s="335"/>
      <c r="CE169" s="335"/>
      <c r="CF169" s="335"/>
      <c r="CG169" s="335"/>
      <c r="CH169" s="335"/>
      <c r="CI169" s="335"/>
    </row>
    <row r="170" spans="1:87" ht="23" customHeight="1">
      <c r="A170" s="181">
        <f t="shared" si="58"/>
        <v>45292</v>
      </c>
      <c r="B170" s="182">
        <v>17</v>
      </c>
      <c r="C170" s="245">
        <f>IFERROR(VLOOKUP($B170,'Aktuelle Einnahmen'!A2:G104,3,0),"")</f>
        <v>0</v>
      </c>
      <c r="D170" s="246">
        <f>IFERROR(VLOOKUP($B170,'Aktuelle Einnahmen'!A2:G104,2,0),"")</f>
        <v>0</v>
      </c>
      <c r="E170" s="247">
        <f>IFERROR(VLOOKUP($B170,'Aktuelle Einnahmen'!A2:G104,4,0),"")</f>
        <v>0</v>
      </c>
      <c r="F170" s="94">
        <f>IFERROR(VLOOKUP($B170,'Aktuelle Einnahmen'!A2:G104,5,0),"")</f>
        <v>0</v>
      </c>
      <c r="G170" s="94">
        <f>IFERROR(VLOOKUP($B170,'Aktuelle Einnahmen'!A2:G104,6,0),"")</f>
        <v>0</v>
      </c>
      <c r="H170" s="94">
        <f>IFERROR(VLOOKUP($B170,'Aktuelle Einnahmen'!A2:G104,7,0),"")</f>
        <v>0</v>
      </c>
      <c r="I170" s="186" t="e">
        <f>DATE(H170,G170,F170)</f>
        <v>#NUM!</v>
      </c>
      <c r="J170" s="472">
        <f ca="1">J160</f>
        <v>45475</v>
      </c>
      <c r="K170" s="501" t="str">
        <f t="shared" si="62"/>
        <v>+Inflat.-P</v>
      </c>
      <c r="L170" s="1262" t="str">
        <f>IFERROR(VLOOKUP(B170,'Aktuelle Einnahmen'!A12:I114,9,0),"")</f>
        <v>Auswahl treffen</v>
      </c>
      <c r="M170" s="1263"/>
      <c r="N170" s="261"/>
      <c r="O170" s="261"/>
      <c r="P170" s="261"/>
      <c r="Q170" s="261"/>
      <c r="R170" s="189"/>
      <c r="S170" s="190"/>
      <c r="T170" s="190"/>
      <c r="U170" s="191"/>
      <c r="V170" s="192"/>
      <c r="W170" s="190"/>
      <c r="X170" s="190"/>
      <c r="Y170" s="191"/>
      <c r="Z170" s="192"/>
      <c r="AA170" s="190"/>
      <c r="AB170" s="190"/>
      <c r="AC170" s="191"/>
      <c r="AD170" s="192"/>
      <c r="AE170" s="190"/>
      <c r="AF170" s="190"/>
      <c r="AG170" s="191"/>
      <c r="AH170" s="193"/>
      <c r="AI170" s="190"/>
      <c r="AJ170" s="190"/>
      <c r="AK170" s="374"/>
      <c r="AL170" s="348"/>
      <c r="AM170" s="354"/>
      <c r="AN170" s="354"/>
      <c r="AO170" s="354"/>
      <c r="AP170" s="354"/>
      <c r="AQ170" s="350"/>
      <c r="AR170" s="769"/>
      <c r="AS170" s="769"/>
      <c r="AT170" s="769"/>
      <c r="AW170"/>
      <c r="AX170"/>
      <c r="AY170" s="280"/>
      <c r="AZ170"/>
      <c r="BA170"/>
      <c r="BB170"/>
      <c r="BC170"/>
      <c r="BD170"/>
      <c r="BE170"/>
      <c r="BF170"/>
      <c r="BG170" s="280"/>
      <c r="BH170"/>
      <c r="BI170"/>
      <c r="BJ170"/>
      <c r="BK170"/>
      <c r="BL170"/>
      <c r="BM170"/>
      <c r="BN170"/>
      <c r="BO170"/>
      <c r="BS170" s="335"/>
      <c r="BT170" s="335"/>
      <c r="BU170" s="335"/>
      <c r="BV170" s="335"/>
      <c r="BW170" s="335"/>
      <c r="BX170" s="335"/>
      <c r="BY170" s="335"/>
      <c r="BZ170" s="335"/>
      <c r="CA170" s="335"/>
      <c r="CB170" s="335"/>
      <c r="CC170" s="335"/>
      <c r="CD170" s="335"/>
      <c r="CE170" s="335"/>
      <c r="CF170" s="335"/>
      <c r="CG170" s="335"/>
      <c r="CH170" s="335"/>
      <c r="CI170" s="335"/>
    </row>
    <row r="171" spans="1:87" ht="22.25" customHeight="1">
      <c r="A171" s="181">
        <f t="shared" si="58"/>
        <v>45292</v>
      </c>
      <c r="B171" s="484" t="e">
        <f>DAY(I170)</f>
        <v>#NUM!</v>
      </c>
      <c r="C171" s="489" t="s">
        <v>158</v>
      </c>
      <c r="D171" s="520" t="e">
        <f>(I171*4)+J171/3+1</f>
        <v>#NUM!</v>
      </c>
      <c r="E171" s="194" t="e">
        <f>J173+1</f>
        <v>#NUM!</v>
      </c>
      <c r="F171" s="195" t="e">
        <f t="shared" ref="F171:F178" si="69">DAY(E171)</f>
        <v>#NUM!</v>
      </c>
      <c r="G171" s="196" t="e">
        <f t="shared" ref="G171:G178" si="70">MONTH(E171)</f>
        <v>#NUM!</v>
      </c>
      <c r="H171" s="195" t="e">
        <f t="shared" ref="H171:H178" si="71">YEAR(E171)</f>
        <v>#NUM!</v>
      </c>
      <c r="I171" s="197" t="e">
        <f>H171-(H170+2000)</f>
        <v>#NUM!</v>
      </c>
      <c r="J171" s="198" t="e">
        <f>G171-G170</f>
        <v>#NUM!</v>
      </c>
      <c r="K171" s="506" t="str">
        <f>L169</f>
        <v/>
      </c>
      <c r="L171" s="469"/>
      <c r="M171" s="473" t="e">
        <f ca="1">SUM(J170-E172)&amp;" Tage"</f>
        <v>#NUM!</v>
      </c>
      <c r="N171" s="206"/>
      <c r="O171" s="201"/>
      <c r="P171" s="201"/>
      <c r="Q171" s="202"/>
      <c r="R171" s="189"/>
      <c r="S171" s="203"/>
      <c r="T171" s="203"/>
      <c r="U171" s="204"/>
      <c r="V171" s="192"/>
      <c r="W171" s="203"/>
      <c r="X171" s="203"/>
      <c r="Y171" s="204"/>
      <c r="Z171" s="192"/>
      <c r="AA171" s="203"/>
      <c r="AB171" s="203"/>
      <c r="AC171" s="204"/>
      <c r="AD171" s="192"/>
      <c r="AE171" s="203"/>
      <c r="AF171" s="203"/>
      <c r="AG171" s="204"/>
      <c r="AH171" s="193"/>
      <c r="AI171" s="203"/>
      <c r="AJ171" s="203"/>
      <c r="AK171" s="375"/>
      <c r="AL171" s="348"/>
      <c r="AM171" s="354"/>
      <c r="AN171" s="354"/>
      <c r="AO171" s="354"/>
      <c r="AP171" s="354"/>
      <c r="AQ171" s="350"/>
      <c r="AR171" s="769"/>
      <c r="AS171" s="769"/>
      <c r="AT171" s="769"/>
      <c r="AW171"/>
      <c r="AX171"/>
      <c r="AY171" s="280"/>
      <c r="AZ171"/>
      <c r="BA171"/>
      <c r="BB171"/>
      <c r="BC171"/>
      <c r="BD171"/>
      <c r="BE171"/>
      <c r="BF171"/>
      <c r="BG171" s="280"/>
      <c r="BH171"/>
      <c r="BI171"/>
      <c r="BJ171"/>
      <c r="BK171"/>
      <c r="BL171"/>
      <c r="BM171"/>
      <c r="BN171"/>
      <c r="BO171"/>
      <c r="BS171" s="335"/>
      <c r="BT171" s="335"/>
      <c r="BU171" s="335"/>
      <c r="BV171" s="335"/>
      <c r="BW171" s="335"/>
      <c r="BX171" s="335"/>
      <c r="BY171" s="335"/>
      <c r="BZ171" s="335"/>
      <c r="CA171" s="335"/>
      <c r="CB171" s="335"/>
      <c r="CC171" s="335"/>
      <c r="CD171" s="335"/>
      <c r="CE171" s="335"/>
      <c r="CF171" s="335"/>
      <c r="CG171" s="335"/>
      <c r="CH171" s="335"/>
      <c r="CI171" s="335"/>
    </row>
    <row r="172" spans="1:87" ht="22.25" customHeight="1">
      <c r="A172" s="181">
        <f t="shared" si="58"/>
        <v>45292</v>
      </c>
      <c r="B172" s="485"/>
      <c r="C172" s="490"/>
      <c r="D172" s="521"/>
      <c r="E172" s="194" t="e">
        <f>DATE(YEAR(E171),MONTH(E171)+3,DAY(E171)-1)</f>
        <v>#NUM!</v>
      </c>
      <c r="F172" s="195" t="e">
        <f t="shared" si="69"/>
        <v>#NUM!</v>
      </c>
      <c r="G172" s="196" t="e">
        <f t="shared" si="70"/>
        <v>#NUM!</v>
      </c>
      <c r="H172" s="195" t="e">
        <f t="shared" si="71"/>
        <v>#NUM!</v>
      </c>
      <c r="I172" s="244">
        <v>-1</v>
      </c>
      <c r="J172" s="198" t="e">
        <f>F171-F170</f>
        <v>#NUM!</v>
      </c>
      <c r="K172" s="501" t="str">
        <f t="shared" si="62"/>
        <v>+Inflat.-P</v>
      </c>
      <c r="L172" s="511" t="e">
        <f>IF(M169="Stufe A",IF(AND(L170="Auswahl treffen",D171&gt;=0,D171&lt;=1000),J169,IF(AND(L170="Vermögend und ambulant",D171&gt;8,D171&lt;=1000),130,IF(AND(L170="Vermögend und ambulant",D171&gt;4,D171&lt;=8),158,IF(AND(L170="Vermögend und ambulant",D171&gt;2,D171&lt;=4),192,IF(AND(L170="Vermögend und ambulant",D171&gt;1,D171&lt;=2),208,IF(AND(L170="Vermögend und ambulant",D171&gt;0,D171&lt;=1),298,IF(AND(L170="Vermögend und stationär",D171&gt;8,D171&lt;=1000),78,IF(AND(L170="Vermögend und stationär",D171&gt;4,D171&lt;=8),91,IF(AND(L170="Vermögend und stationär",D171&gt;2,D171&lt;=4),140,IF(AND(L170="Vermögend und stationär",D171&gt;1,D171&lt;=2),158,IF(AND(L170="Vermögend und stationär",D171&gt;0,D171&lt;=1),200,IF(AND(L170="Mittellos und ambulant",D171&gt;8,D171&lt;=1000),105,IF(AND(L170="Mittellos und ambulant",D171&gt;4,D171&lt;=8),122,IF(AND(L170="Mittellos und ambulant",D171&gt;2,D171&lt;=4),151,IF(AND(L170="Mittellos und ambulant",D171&gt;1,D171&lt;=2),170,IF(AND(L170="Mittellos und ambulant",D171&gt;0,D171&lt;=1),208,IF(AND(L170="Mittellos und stationär",D171&gt;8,D171&lt;=1000),62,IF(AND(L170="Mittellos und stationär",D171&gt;4,D171&lt;=8),87,IF(AND(L170="Mittellos und stationär",D171&gt;2,D171&lt;=4),124,IF(AND(L170="Mittellos und stationär",D171&gt;1,D171&lt;=2),129,IF(AND(L170="Mittellos und stationär",D171&gt;0,D171&lt;=1),194,""))))))))))))))))))))),IF(M169="Stufe B",IF(AND(L170="Auswahl treffen",D171&gt;=0,D171&lt;=1000),J169,IF(AND(L170="Vermögend und ambulant",D171&gt;8,D171&lt;=1000),161,IF(AND(L170="Vermögend und ambulant",D171&gt;4,D171&lt;=8),196,IF(AND(L170="Vermögend und ambulant",D171&gt;2,D171&lt;=4),238,IF(AND(L170="Vermögend und ambulant",D171&gt;1,D171&lt;=2),258,IF(AND(L170="Vermögend und ambulant",D171&gt;0,D171&lt;=1),370,IF(AND(L170="Vermögend und stationär",D171&gt;8,D171&lt;=1000),96,IF(AND(L170="Vermögend und stationär",D171&gt;4,D171&lt;=8),113,IF(AND(L170="Vermögend und stationär",D171&gt;2,D171&lt;=4),174,IF(AND(L170="Vermögend und stationär",D171&gt;1,D171&lt;=2),196,IF(AND(L170="Vermögend und stationär",D171&gt;0,D171&lt;=1),249,IF(AND(L170="Mittellos und ambulant",D171&gt;8,D171&lt;=1000),130,IF(AND(L170="Mittellos und ambulant",D171&gt;4,D171&lt;=8),151,IF(AND(L170="Mittellos und ambulant",D171&gt;2,D171&lt;=4),188,IF(AND(L170="Mittellos und ambulant",D171&gt;1,D171&lt;=2),211,IF(AND(L170="Mittellos und ambulant",D171&gt;0,D171&lt;=1),258,IF(AND(L170="Mittellos und stationär",D171&gt;8,D171&lt;=1000),78,IF(AND(L170="Mittellos und stationär",D171&gt;4,D171&lt;=8),107,IF(AND(L170="Mittellos und stationär",D171&gt;2,D171&lt;=4),154,IF(AND(L170="Mittellos und stationär",D171&gt;1,D171&lt;=2),158,IF(AND(L170="Mittellos und stationär",D171&gt;0,D171&lt;=1),241,""))))))))))))))))))))),IF(M169="Stufe C",IF(AND(L170="Auswahl treffen",D171&gt;=0,D171&lt;=1000),J169,IF(AND(L170="Vermögend und ambulant",D171&gt;8,D171&lt;=1000),211,IF(AND(L170="Vermögend und ambulant",D171&gt;4,D171&lt;=8),257,IF(AND(L170="Vermögend und ambulant",D171&gt;2,D171&lt;=4),312,IF(AND(L170="Vermögend und ambulant",D171&gt;1,D171&lt;=2),339,IF(AND(L170="Vermögend und ambulant",D171&gt;0,D171&lt;=1),486,IF(AND(L170="Vermögend und stationär",D171&gt;8,D171&lt;=1000),127,IF(AND(L170="Vermögend und stationär",D171&gt;4,D171&lt;=8),149,IF(AND(L170="Vermögend und stationär",D171&gt;2,D171&lt;=4),229,IF(AND(L170="Vermögend und stationär",D171&gt;1,D171&lt;=2),257,IF(AND(L170="Vermögend und stationär",D171&gt;0,D171&lt;=1),327,IF(AND(L170="Mittellos und ambulant",D171&gt;8,D171&lt;=1000),171,IF(AND(L170="Mittellos und ambulant",D171&gt;4,D171&lt;=8),198,IF(AND(L170="Mittellos und ambulant",D171&gt;2,D171&lt;=4),246,IF(AND(L170="Mittellos und ambulant",D171&gt;1,D171&lt;=2),277,IF(AND(L170="Mittellos und ambulant",D171&gt;0,D171&lt;=1),339,IF(AND(L170="Mittellos und stationär",D171&gt;8,D171&lt;=1000),102,IF(AND(L170="Mittellos und stationär",D171&gt;4,D171&lt;=8),141,IF(AND(L170="Mittellos und stationär",D171&gt;2,D171&lt;=4),202,IF(AND(L170="Mittellos und stationär",D171&gt;1,D171&lt;=2),208,IF(AND(L170="Mittellos und stationär",D171&gt;0,D171&lt;=1),317,""))))))))))))))))))))),"")))*3+(J169*90)</f>
        <v>#NUM!</v>
      </c>
      <c r="M172" s="507" t="str">
        <f>CONCATENATE(K172, K171)</f>
        <v>+Inflat.-P</v>
      </c>
      <c r="N172" s="206" t="s">
        <v>118</v>
      </c>
      <c r="O172" s="207"/>
      <c r="P172" s="207"/>
      <c r="Q172" s="208"/>
      <c r="R172" s="187"/>
      <c r="S172" s="209" t="s">
        <v>118</v>
      </c>
      <c r="T172" s="201" t="s">
        <v>117</v>
      </c>
      <c r="U172" s="210" t="s">
        <v>26</v>
      </c>
      <c r="V172" s="192"/>
      <c r="W172" s="203"/>
      <c r="X172" s="203"/>
      <c r="Y172" s="210"/>
      <c r="Z172" s="192"/>
      <c r="AA172" s="203"/>
      <c r="AB172" s="203"/>
      <c r="AC172" s="210"/>
      <c r="AD172" s="192"/>
      <c r="AE172" s="203"/>
      <c r="AF172" s="203"/>
      <c r="AG172" s="210"/>
      <c r="AH172" s="193"/>
      <c r="AI172" s="203"/>
      <c r="AJ172" s="203"/>
      <c r="AK172" s="376"/>
      <c r="AL172" s="348" t="s">
        <v>148</v>
      </c>
      <c r="AM172" s="354">
        <f>IF(SUM(N170:N178)=SUM(S170:S178), 0, SUM(N170:N178)-SUM(S170:S178))</f>
        <v>0</v>
      </c>
      <c r="AN172" s="354"/>
      <c r="AO172" s="354"/>
      <c r="AP172" s="354"/>
      <c r="AQ172" s="350">
        <f>AM172+AN172+AO172+AP172</f>
        <v>0</v>
      </c>
      <c r="AR172" s="769"/>
      <c r="AS172" s="769"/>
      <c r="AT172" s="769"/>
      <c r="AW172"/>
      <c r="AX172"/>
      <c r="AY172" s="280"/>
      <c r="AZ172"/>
      <c r="BA172"/>
      <c r="BB172"/>
      <c r="BC172"/>
      <c r="BD172"/>
      <c r="BE172"/>
      <c r="BF172"/>
      <c r="BG172" s="280"/>
      <c r="BH172"/>
      <c r="BI172"/>
      <c r="BJ172"/>
      <c r="BK172"/>
      <c r="BL172"/>
      <c r="BM172"/>
      <c r="BN172"/>
      <c r="BO172"/>
      <c r="BS172" s="335"/>
      <c r="BT172" s="335"/>
      <c r="BU172" s="335"/>
      <c r="BV172" s="335"/>
      <c r="BW172" s="335"/>
      <c r="BX172" s="335"/>
      <c r="BY172" s="335"/>
      <c r="BZ172" s="335"/>
      <c r="CA172" s="335"/>
      <c r="CB172" s="335"/>
      <c r="CC172" s="335"/>
      <c r="CD172" s="335"/>
      <c r="CE172" s="335"/>
      <c r="CF172" s="335"/>
      <c r="CG172" s="335"/>
      <c r="CH172" s="335"/>
      <c r="CI172" s="335"/>
    </row>
    <row r="173" spans="1:87" ht="22.25" customHeight="1">
      <c r="A173" s="181">
        <f t="shared" si="58"/>
        <v>45292</v>
      </c>
      <c r="B173" s="484" t="e">
        <f>MONTH(I170)</f>
        <v>#NUM!</v>
      </c>
      <c r="C173" s="489" t="s">
        <v>158</v>
      </c>
      <c r="D173" s="522" t="e">
        <f>D171+1</f>
        <v>#NUM!</v>
      </c>
      <c r="E173" s="211" t="e">
        <f>DATE(YEAR(E172),MONTH(E172),DAY(E172)+1)</f>
        <v>#NUM!</v>
      </c>
      <c r="F173" s="212" t="e">
        <f t="shared" si="69"/>
        <v>#NUM!</v>
      </c>
      <c r="G173" s="213" t="e">
        <f t="shared" si="70"/>
        <v>#NUM!</v>
      </c>
      <c r="H173" s="212" t="e">
        <f t="shared" si="71"/>
        <v>#NUM!</v>
      </c>
      <c r="I173" s="214" t="str">
        <f>IF(D170&lt;&gt;0,"-1T","")</f>
        <v/>
      </c>
      <c r="J173" s="215" t="e">
        <f>DATE($B175,I174,$B171)</f>
        <v>#NUM!</v>
      </c>
      <c r="K173" s="501" t="str">
        <f t="shared" si="62"/>
        <v/>
      </c>
      <c r="L173" s="470"/>
      <c r="M173" s="473" t="e">
        <f ca="1">SUM(J170-E174)&amp;" Tage"</f>
        <v>#NUM!</v>
      </c>
      <c r="N173" s="216"/>
      <c r="O173" s="217"/>
      <c r="P173" s="188"/>
      <c r="Q173" s="217"/>
      <c r="R173" s="189"/>
      <c r="S173" s="190"/>
      <c r="T173" s="190"/>
      <c r="U173" s="191"/>
      <c r="V173" s="192"/>
      <c r="W173" s="190"/>
      <c r="X173" s="190"/>
      <c r="Y173" s="191"/>
      <c r="Z173" s="192"/>
      <c r="AA173" s="190"/>
      <c r="AB173" s="190"/>
      <c r="AC173" s="191"/>
      <c r="AD173" s="192"/>
      <c r="AE173" s="190"/>
      <c r="AF173" s="190"/>
      <c r="AG173" s="191"/>
      <c r="AH173" s="193"/>
      <c r="AI173" s="190"/>
      <c r="AJ173" s="190"/>
      <c r="AK173" s="374"/>
      <c r="AL173" s="348"/>
      <c r="AM173" s="354"/>
      <c r="AN173" s="354"/>
      <c r="AO173" s="354"/>
      <c r="AP173" s="354"/>
      <c r="AQ173" s="350"/>
      <c r="AR173" s="769"/>
      <c r="AS173" s="769"/>
      <c r="AT173" s="769"/>
      <c r="AW173"/>
      <c r="AX173"/>
      <c r="AY173" s="280"/>
      <c r="AZ173"/>
      <c r="BA173"/>
      <c r="BB173"/>
      <c r="BC173"/>
      <c r="BD173"/>
      <c r="BE173"/>
      <c r="BF173"/>
      <c r="BG173" s="280"/>
      <c r="BH173"/>
      <c r="BI173"/>
      <c r="BJ173"/>
      <c r="BK173"/>
      <c r="BL173"/>
      <c r="BM173"/>
      <c r="BN173"/>
      <c r="BO173"/>
      <c r="BS173" s="335"/>
      <c r="BT173" s="335"/>
      <c r="BU173" s="335"/>
      <c r="BV173" s="335"/>
      <c r="BW173" s="335"/>
      <c r="BX173" s="335"/>
      <c r="BY173" s="335"/>
      <c r="BZ173" s="335"/>
      <c r="CA173" s="335"/>
      <c r="CB173" s="335"/>
      <c r="CC173" s="335"/>
      <c r="CD173" s="335"/>
      <c r="CE173" s="335"/>
      <c r="CF173" s="335"/>
      <c r="CG173" s="335"/>
      <c r="CH173" s="335"/>
      <c r="CI173" s="335"/>
    </row>
    <row r="174" spans="1:87" ht="22.25" customHeight="1">
      <c r="A174" s="181">
        <f t="shared" si="58"/>
        <v>45292</v>
      </c>
      <c r="B174" s="485"/>
      <c r="C174" s="490"/>
      <c r="D174" s="521"/>
      <c r="E174" s="218" t="e">
        <f>DATE(YEAR(E173),MONTH(E173)+3,DAY(E173)-1)</f>
        <v>#NUM!</v>
      </c>
      <c r="F174" s="212" t="e">
        <f t="shared" si="69"/>
        <v>#NUM!</v>
      </c>
      <c r="G174" s="213" t="e">
        <f t="shared" si="70"/>
        <v>#NUM!</v>
      </c>
      <c r="H174" s="212" t="e">
        <f t="shared" si="71"/>
        <v>#NUM!</v>
      </c>
      <c r="I174" s="219">
        <f>MAX(I175:I178)</f>
        <v>9</v>
      </c>
      <c r="J174" s="220" t="e">
        <f>DATE(YEAR(J173)+1,MONTH(J173),DAY(J173))</f>
        <v>#NUM!</v>
      </c>
      <c r="K174" s="506" t="str">
        <f t="shared" si="62"/>
        <v>+Inflat.-P</v>
      </c>
      <c r="L174" s="508" t="e">
        <f>IF(M169="Stufe A",IF(AND(L170="Auswahl treffen",D173&gt;=0,D173&lt;=1000),J169,IF(AND(L170="Vermögend und ambulant",D173&gt;8,D173&lt;=1000),130,IF(AND(L170="Vermögend und ambulant",D173&gt;4,D173&lt;=8),158,IF(AND(L170="Vermögend und ambulant",D173&gt;2,D173&lt;=4),192,IF(AND(L170="Vermögend und ambulant",D173&gt;1,D173&lt;=2),208,IF(AND(L170="Vermögend und ambulant",D173&gt;0,D173&lt;=1),298,IF(AND(L170="Vermögend und stationär",D173&gt;8,D173&lt;=1000),78,IF(AND(L170="Vermögend und stationär",D173&gt;4,D173&lt;=8),91,IF(AND(L170="Vermögend und stationär",D173&gt;2,D173&lt;=4),140,IF(AND(L170="Vermögend und stationär",D173&gt;1,D173&lt;=2),158,IF(AND(L170="Vermögend und stationär",D173&gt;0,D173&lt;=1),200,IF(AND(L170="Mittellos und ambulant",D173&gt;8,D173&lt;=1000),105,IF(AND(L170="Mittellos und ambulant",D173&gt;4,D173&lt;=8),122,IF(AND(L170="Mittellos und ambulant",D173&gt;2,D173&lt;=4),151,IF(AND(L170="Mittellos und ambulant",D173&gt;1,D173&lt;=2),170,IF(AND(L170="Mittellos und ambulant",D173&gt;0,D173&lt;=1),208,IF(AND(L170="Mittellos und stationär",D173&gt;8,D173&lt;=1000),62,IF(AND(L170="Mittellos und stationär",D173&gt;4,D173&lt;=8),87,IF(AND(L170="Mittellos und stationär",D173&gt;2,D173&lt;=4),124,IF(AND(L170="Mittellos und stationär",D173&gt;1,D173&lt;=2),129,IF(AND(L170="Mittellos und stationär",D173&gt;0,D173&lt;=1),194,""))))))))))))))))))))),IF(M169="Stufe B",IF(AND(L170="Auswahl treffen",D173&gt;=0,D173&lt;=1000),J169,IF(AND(L170="Vermögend und ambulant",D173&gt;8,D173&lt;=1000),161,IF(AND(L170="Vermögend und ambulant",D173&gt;4,D173&lt;=8),196,IF(AND(L170="Vermögend und ambulant",D173&gt;2,D173&lt;=4),238,IF(AND(L170="Vermögend und ambulant",D173&gt;1,D173&lt;=2),258,IF(AND(L170="Vermögend und ambulant",D173&gt;0,D173&lt;=1),370,IF(AND(L170="Vermögend und stationär",D173&gt;8,D173&lt;=1000),96,IF(AND(L170="Vermögend und stationär",D173&gt;4,D173&lt;=8),113,IF(AND(L170="Vermögend und stationär",D173&gt;2,D173&lt;=4),174,IF(AND(L170="Vermögend und stationär",D173&gt;1,D173&lt;=2),196,IF(AND(L170="Vermögend und stationär",D173&gt;0,D173&lt;=1),249,IF(AND(L170="Mittellos und ambulant",D173&gt;8,D173&lt;=1000),130,IF(AND(L170="Mittellos und ambulant",D173&gt;4,D173&lt;=8),151,IF(AND(L170="Mittellos und ambulant",D173&gt;2,D173&lt;=4),188,IF(AND(L170="Mittellos und ambulant",D173&gt;1,D173&lt;=2),211,IF(AND(L170="Mittellos und ambulant",D173&gt;0,D173&lt;=1),258,IF(AND(L170="Mittellos und stationär",D173&gt;8,D173&lt;=1000),78,IF(AND(L170="Mittellos und stationär",D173&gt;4,D173&lt;=8),107,IF(AND(L170="Mittellos und stationär",D173&gt;2,D173&lt;=4),154,IF(AND(L170="Mittellos und stationär",D173&gt;1,D173&lt;=2),158,IF(AND(L170="Mittellos und stationär",D173&gt;0,D173&lt;=1),241,""))))))))))))))))))))),IF(M169="Stufe C",IF(AND(L170="Auswahl treffen",D173&gt;=0,D173&lt;=1000),J169,IF(AND(L170="Vermögend und ambulant",D173&gt;8,D173&lt;=1000),211,IF(AND(L170="Vermögend und ambulant",D173&gt;4,D173&lt;=8),257,IF(AND(L170="Vermögend und ambulant",D173&gt;2,D173&lt;=4),312,IF(AND(L170="Vermögend und ambulant",D173&gt;1,D173&lt;=2),339,IF(AND(L170="Vermögend und ambulant",D173&gt;0,D173&lt;=1),486,IF(AND(L170="Vermögend und stationär",D173&gt;8,D173&lt;=1000),127,IF(AND(L170="Vermögend und stationär",D173&gt;4,D173&lt;=8),149,IF(AND(L170="Vermögend und stationär",D173&gt;2,D173&lt;=4),229,IF(AND(L170="Vermögend und stationär",D173&gt;1,D173&lt;=2),257,IF(AND(L170="Vermögend und stationär",D173&gt;0,D173&lt;=1),327,IF(AND(L170="Mittellos und ambulant",D173&gt;8,D173&lt;=1000),171,IF(AND(L170="Mittellos und ambulant",D173&gt;4,D173&lt;=8),198,IF(AND(L170="Mittellos und ambulant",D173&gt;2,D173&lt;=4),246,IF(AND(L170="Mittellos und ambulant",D173&gt;1,D173&lt;=2),277,IF(AND(L170="Mittellos und ambulant",D173&gt;0,D173&lt;=1),339,IF(AND(L170="Mittellos und stationär",D173&gt;8,D173&lt;=1000),102,IF(AND(L170="Mittellos und stationär",D173&gt;4,D173&lt;=8),141,IF(AND(L170="Mittellos und stationär",D173&gt;2,D173&lt;=4),202,IF(AND(L170="Mittellos und stationär",D173&gt;1,D173&lt;=2),208,IF(AND(L170="Mittellos und stationär",D173&gt;0,D173&lt;=1),317,""))))))))))))))))))))),"")))*3+(J169*90)</f>
        <v>#NUM!</v>
      </c>
      <c r="M174" s="507" t="str">
        <f>CONCATENATE(K174, K173)</f>
        <v>+Inflat.-P</v>
      </c>
      <c r="N174" s="216"/>
      <c r="O174" s="188" t="s">
        <v>118</v>
      </c>
      <c r="P174" s="188"/>
      <c r="Q174" s="221"/>
      <c r="R174" s="199"/>
      <c r="S174" s="190"/>
      <c r="T174" s="190"/>
      <c r="U174" s="191"/>
      <c r="V174" s="192"/>
      <c r="W174" s="222" t="s">
        <v>118</v>
      </c>
      <c r="X174" s="222" t="s">
        <v>117</v>
      </c>
      <c r="Y174" s="191" t="s">
        <v>26</v>
      </c>
      <c r="Z174" s="192"/>
      <c r="AA174" s="190"/>
      <c r="AB174" s="190"/>
      <c r="AC174" s="191"/>
      <c r="AD174" s="192"/>
      <c r="AE174" s="190"/>
      <c r="AF174" s="190"/>
      <c r="AG174" s="191"/>
      <c r="AH174" s="193"/>
      <c r="AI174" s="190"/>
      <c r="AJ174" s="190"/>
      <c r="AK174" s="374"/>
      <c r="AL174" s="348" t="s">
        <v>149</v>
      </c>
      <c r="AM174" s="354"/>
      <c r="AN174" s="354">
        <f>IF(SUM(O170:O178)=SUM(W170:W178), 0, SUM(O170:O178)-SUM(W170:W178))</f>
        <v>0</v>
      </c>
      <c r="AO174" s="354"/>
      <c r="AP174" s="354"/>
      <c r="AQ174" s="350">
        <f>AM174+AN174+AO174+AP174</f>
        <v>0</v>
      </c>
      <c r="AR174" s="769"/>
      <c r="AS174" s="769"/>
      <c r="AT174" s="769"/>
      <c r="AW174"/>
      <c r="AX174"/>
      <c r="AY174" s="280"/>
      <c r="AZ174"/>
      <c r="BA174"/>
      <c r="BB174"/>
      <c r="BC174"/>
      <c r="BD174"/>
      <c r="BE174"/>
      <c r="BF174"/>
      <c r="BG174" s="280"/>
      <c r="BH174"/>
      <c r="BI174"/>
      <c r="BJ174"/>
      <c r="BK174"/>
      <c r="BL174"/>
      <c r="BM174"/>
      <c r="BN174"/>
      <c r="BO174"/>
      <c r="BS174" s="335"/>
      <c r="BT174" s="335"/>
      <c r="BU174" s="335"/>
      <c r="BV174" s="335"/>
      <c r="BW174" s="335"/>
      <c r="BX174" s="335"/>
      <c r="BY174" s="335"/>
      <c r="BZ174" s="335"/>
      <c r="CA174" s="335"/>
      <c r="CB174" s="335"/>
      <c r="CC174" s="335"/>
      <c r="CD174" s="335"/>
      <c r="CE174" s="335"/>
      <c r="CF174" s="335"/>
      <c r="CG174" s="335"/>
      <c r="CH174" s="335"/>
      <c r="CI174" s="335"/>
    </row>
    <row r="175" spans="1:87" ht="22.25" customHeight="1">
      <c r="A175" s="181">
        <f t="shared" si="58"/>
        <v>45292</v>
      </c>
      <c r="B175" s="484">
        <f>YEAR($A176)-1</f>
        <v>2023</v>
      </c>
      <c r="C175" s="489" t="s">
        <v>158</v>
      </c>
      <c r="D175" s="520" t="e">
        <f>D173+1</f>
        <v>#NUM!</v>
      </c>
      <c r="E175" s="194" t="e">
        <f>DATE(YEAR(E174),MONTH(E174),DAY(E174)+1)</f>
        <v>#NUM!</v>
      </c>
      <c r="F175" s="195" t="e">
        <f t="shared" si="69"/>
        <v>#NUM!</v>
      </c>
      <c r="G175" s="196" t="e">
        <f t="shared" si="70"/>
        <v>#NUM!</v>
      </c>
      <c r="H175" s="195" t="e">
        <f t="shared" si="71"/>
        <v>#NUM!</v>
      </c>
      <c r="I175" s="197">
        <f>IF(J177&lt;13,J177,"")</f>
        <v>9</v>
      </c>
      <c r="J175" s="224">
        <f>G170</f>
        <v>0</v>
      </c>
      <c r="K175" s="501" t="str">
        <f t="shared" si="62"/>
        <v/>
      </c>
      <c r="L175" s="471"/>
      <c r="M175" s="473" t="e">
        <f ca="1">SUM(J170-E176)&amp;" Tage"</f>
        <v>#NUM!</v>
      </c>
      <c r="N175" s="200"/>
      <c r="O175" s="201"/>
      <c r="P175" s="201"/>
      <c r="Q175" s="202"/>
      <c r="R175" s="189"/>
      <c r="S175" s="203"/>
      <c r="T175" s="203"/>
      <c r="U175" s="204"/>
      <c r="V175" s="192"/>
      <c r="W175" s="203"/>
      <c r="X175" s="203"/>
      <c r="Y175" s="204"/>
      <c r="Z175" s="192"/>
      <c r="AA175" s="203"/>
      <c r="AB175" s="203"/>
      <c r="AC175" s="204"/>
      <c r="AD175" s="192"/>
      <c r="AE175" s="203"/>
      <c r="AF175" s="203"/>
      <c r="AG175" s="204"/>
      <c r="AH175" s="193"/>
      <c r="AI175" s="203"/>
      <c r="AJ175" s="203"/>
      <c r="AK175" s="375"/>
      <c r="AL175" s="348"/>
      <c r="AM175" s="354"/>
      <c r="AN175" s="354"/>
      <c r="AO175" s="354"/>
      <c r="AP175" s="354"/>
      <c r="AQ175" s="350"/>
      <c r="AR175" s="769"/>
      <c r="AS175" s="769"/>
      <c r="AT175" s="769"/>
      <c r="AW175"/>
      <c r="AX175"/>
      <c r="AY175" s="280"/>
      <c r="AZ175"/>
      <c r="BA175"/>
      <c r="BB175"/>
      <c r="BC175"/>
      <c r="BD175"/>
      <c r="BE175"/>
      <c r="BF175"/>
      <c r="BG175" s="280"/>
      <c r="BH175"/>
      <c r="BI175"/>
      <c r="BJ175"/>
      <c r="BK175"/>
      <c r="BL175"/>
      <c r="BM175"/>
      <c r="BN175"/>
      <c r="BO175"/>
      <c r="BS175" s="335"/>
      <c r="BT175" s="335"/>
      <c r="BU175" s="335"/>
      <c r="BV175" s="335"/>
      <c r="BW175" s="335"/>
      <c r="BX175" s="335"/>
      <c r="BY175" s="335"/>
      <c r="BZ175" s="335"/>
      <c r="CA175" s="335"/>
      <c r="CB175" s="335"/>
      <c r="CC175" s="335"/>
      <c r="CD175" s="335"/>
      <c r="CE175" s="335"/>
      <c r="CF175" s="335"/>
      <c r="CG175" s="335"/>
      <c r="CH175" s="335"/>
      <c r="CI175" s="335"/>
    </row>
    <row r="176" spans="1:87" ht="22.25" customHeight="1">
      <c r="A176" s="181">
        <f t="shared" si="58"/>
        <v>45292</v>
      </c>
      <c r="B176" s="485"/>
      <c r="C176" s="490"/>
      <c r="D176" s="521"/>
      <c r="E176" s="194" t="e">
        <f>DATE(YEAR(E175),MONTH(E175)+3,DAY(E175)-1)</f>
        <v>#NUM!</v>
      </c>
      <c r="F176" s="195" t="e">
        <f t="shared" si="69"/>
        <v>#NUM!</v>
      </c>
      <c r="G176" s="196" t="e">
        <f t="shared" si="70"/>
        <v>#NUM!</v>
      </c>
      <c r="H176" s="195" t="e">
        <f t="shared" si="71"/>
        <v>#NUM!</v>
      </c>
      <c r="I176" s="244">
        <f>IF(J178&lt;13,J178,"")</f>
        <v>6</v>
      </c>
      <c r="J176" s="224">
        <f>J175+3</f>
        <v>3</v>
      </c>
      <c r="K176" s="506" t="str">
        <f t="shared" si="62"/>
        <v>+Inflat.-P</v>
      </c>
      <c r="L176" s="511" t="e">
        <f>IF(M169="Stufe A",IF(AND(L170="Auswahl treffen",D175&gt;=0,D175&lt;=1000),J169,IF(AND(L170="Vermögend und ambulant",D175&gt;8,D175&lt;=1000),130,IF(AND(L170="Vermögend und ambulant",D175&gt;4,D175&lt;=8),158,IF(AND(L170="Vermögend und ambulant",D175&gt;2,D175&lt;=4),192,IF(AND(L170="Vermögend und ambulant",D175&gt;1,D175&lt;=2),208,IF(AND(L170="Vermögend und ambulant",D175&gt;0,D175&lt;=1),298,IF(AND(L170="Vermögend und stationär",D175&gt;8,D175&lt;=1000),78,IF(AND(L170="Vermögend und stationär",D175&gt;4,D175&lt;=8),91,IF(AND(L170="Vermögend und stationär",D175&gt;2,D175&lt;=4),140,IF(AND(L170="Vermögend und stationär",D175&gt;1,D175&lt;=2),158,IF(AND(L170="Vermögend und stationär",D175&gt;0,D175&lt;=1),200,IF(AND(L170="Mittellos und ambulant",D175&gt;8,D175&lt;=1000),105,IF(AND(L170="Mittellos und ambulant",D175&gt;4,D175&lt;=8),122,IF(AND(L170="Mittellos und ambulant",D175&gt;2,D175&lt;=4),151,IF(AND(L170="Mittellos und ambulant",D175&gt;1,D175&lt;=2),170,IF(AND(L170="Mittellos und ambulant",D175&gt;0,D175&lt;=1),208,IF(AND(L170="Mittellos und stationär",D175&gt;8,D175&lt;=1000),62,IF(AND(L170="Mittellos und stationär",D175&gt;4,D175&lt;=8),87,IF(AND(L170="Mittellos und stationär",D175&gt;2,D175&lt;=4),124,IF(AND(L170="Mittellos und stationär",D175&gt;1,D175&lt;=2),129,IF(AND(L170="Mittellos und stationär",D175&gt;0,D175&lt;=1),194,""))))))))))))))))))))),IF(M169="Stufe B",IF(AND(L170="Auswahl treffen",D175&gt;=0,D175&lt;=1000),J169,IF(AND(L170="Vermögend und ambulant",D175&gt;8,D175&lt;=1000),161,IF(AND(L170="Vermögend und ambulant",D175&gt;4,D175&lt;=8),196,IF(AND(L170="Vermögend und ambulant",D175&gt;2,D175&lt;=4),238,IF(AND(L170="Vermögend und ambulant",D175&gt;1,D175&lt;=2),258,IF(AND(L170="Vermögend und ambulant",D175&gt;0,D175&lt;=1),370,IF(AND(L170="Vermögend und stationär",D175&gt;8,D175&lt;=1000),96,IF(AND(L170="Vermögend und stationär",D175&gt;4,D175&lt;=8),113,IF(AND(L170="Vermögend und stationär",D175&gt;2,D175&lt;=4),174,IF(AND(L170="Vermögend und stationär",D175&gt;1,D175&lt;=2),196,IF(AND(L170="Vermögend und stationär",D175&gt;0,D175&lt;=1),249,IF(AND(L170="Mittellos und ambulant",D175&gt;8,D175&lt;=1000),130,IF(AND(L170="Mittellos und ambulant",D175&gt;4,D175&lt;=8),151,IF(AND(L170="Mittellos und ambulant",D175&gt;2,D175&lt;=4),188,IF(AND(L170="Mittellos und ambulant",D175&gt;1,D175&lt;=2),211,IF(AND(L170="Mittellos und ambulant",D175&gt;0,D175&lt;=1),258,IF(AND(L170="Mittellos und stationär",D175&gt;8,D175&lt;=1000),78,IF(AND(L170="Mittellos und stationär",D175&gt;4,D175&lt;=8),107,IF(AND(L170="Mittellos und stationär",D175&gt;2,D175&lt;=4),154,IF(AND(L170="Mittellos und stationär",D175&gt;1,D175&lt;=2),158,IF(AND(L170="Mittellos und stationär",D175&gt;0,D175&lt;=1),241,""))))))))))))))))))))),IF(M169="Stufe C",IF(AND(L170="Auswahl treffen",D175&gt;=0,D175&lt;=1000),J169,IF(AND(L170="Vermögend und ambulant",D175&gt;8,D175&lt;=1000),211,IF(AND(L170="Vermögend und ambulant",D175&gt;4,D175&lt;=8),257,IF(AND(L170="Vermögend und ambulant",D175&gt;2,D175&lt;=4),312,IF(AND(L170="Vermögend und ambulant",D175&gt;1,D175&lt;=2),339,IF(AND(L170="Vermögend und ambulant",D175&gt;0,D175&lt;=1),486,IF(AND(L170="Vermögend und stationär",D175&gt;8,D175&lt;=1000),127,IF(AND(L170="Vermögend und stationär",D175&gt;4,D175&lt;=8),149,IF(AND(L170="Vermögend und stationär",D175&gt;2,D175&lt;=4),229,IF(AND(L170="Vermögend und stationär",D175&gt;1,D175&lt;=2),257,IF(AND(L170="Vermögend und stationär",D175&gt;0,D175&lt;=1),327,IF(AND(L170="Mittellos und ambulant",D175&gt;8,D175&lt;=1000),171,IF(AND(L170="Mittellos und ambulant",D175&gt;4,D175&lt;=8),198,IF(AND(L170="Mittellos und ambulant",D175&gt;2,D175&lt;=4),246,IF(AND(L170="Mittellos und ambulant",D175&gt;1,D175&lt;=2),277,IF(AND(L170="Mittellos und ambulant",D175&gt;0,D175&lt;=1),339,IF(AND(L170="Mittellos und stationär",D175&gt;8,D175&lt;=1000),102,IF(AND(L170="Mittellos und stationär",D175&gt;4,D175&lt;=8),141,IF(AND(L170="Mittellos und stationär",D175&gt;2,D175&lt;=4),202,IF(AND(L170="Mittellos und stationär",D175&gt;1,D175&lt;=2),208,IF(AND(L170="Mittellos und stationär",D175&gt;0,D175&lt;=1),317,""))))))))))))))))))))),"")))*3+(J169*90)</f>
        <v>#NUM!</v>
      </c>
      <c r="M176" s="507" t="str">
        <f>CONCATENATE(K176, K175)</f>
        <v>+Inflat.-P</v>
      </c>
      <c r="N176" s="206"/>
      <c r="O176" s="207"/>
      <c r="P176" s="206" t="s">
        <v>118</v>
      </c>
      <c r="Q176" s="226"/>
      <c r="R176" s="189"/>
      <c r="S176" s="203"/>
      <c r="T176" s="203"/>
      <c r="U176" s="204"/>
      <c r="V176" s="192"/>
      <c r="W176" s="203"/>
      <c r="X176" s="203"/>
      <c r="Y176" s="204"/>
      <c r="Z176" s="192"/>
      <c r="AA176" s="209" t="s">
        <v>118</v>
      </c>
      <c r="AB176" s="209" t="s">
        <v>117</v>
      </c>
      <c r="AC176" s="204" t="s">
        <v>26</v>
      </c>
      <c r="AD176" s="192"/>
      <c r="AE176" s="203"/>
      <c r="AF176" s="203"/>
      <c r="AG176" s="204"/>
      <c r="AH176" s="193"/>
      <c r="AI176" s="203"/>
      <c r="AJ176" s="203"/>
      <c r="AK176" s="375"/>
      <c r="AL176" s="348" t="s">
        <v>150</v>
      </c>
      <c r="AM176" s="354"/>
      <c r="AN176" s="354"/>
      <c r="AO176" s="354">
        <f>IF(SUM(P170:P178)=SUM(AA170:AA178), 0, SUM(P170:P178)-SUM(AA170:AA178))</f>
        <v>0</v>
      </c>
      <c r="AP176" s="354"/>
      <c r="AQ176" s="350">
        <f>AM176+AN176+AO176+AP176</f>
        <v>0</v>
      </c>
      <c r="AR176" s="769"/>
      <c r="AS176" s="769"/>
      <c r="AT176" s="769"/>
      <c r="AW176"/>
      <c r="AX176"/>
      <c r="AY176" s="280"/>
      <c r="AZ176"/>
      <c r="BA176"/>
      <c r="BB176"/>
      <c r="BC176"/>
      <c r="BD176"/>
      <c r="BE176"/>
      <c r="BF176"/>
      <c r="BG176" s="280"/>
      <c r="BH176"/>
      <c r="BI176"/>
      <c r="BJ176"/>
      <c r="BK176"/>
      <c r="BL176"/>
      <c r="BM176"/>
      <c r="BN176"/>
      <c r="BO176"/>
      <c r="BS176" s="335"/>
      <c r="BT176" s="335"/>
      <c r="BU176" s="335"/>
      <c r="BV176" s="335"/>
      <c r="BW176" s="335"/>
      <c r="BX176" s="335"/>
      <c r="BY176" s="335"/>
      <c r="BZ176" s="335"/>
      <c r="CA176" s="335"/>
      <c r="CB176" s="335"/>
      <c r="CC176" s="335"/>
      <c r="CD176" s="335"/>
      <c r="CE176" s="335"/>
      <c r="CF176" s="335"/>
      <c r="CG176" s="335"/>
      <c r="CH176" s="335"/>
      <c r="CI176" s="335"/>
    </row>
    <row r="177" spans="1:87" ht="22.25" customHeight="1">
      <c r="A177" s="181">
        <f t="shared" si="58"/>
        <v>45292</v>
      </c>
      <c r="B177" s="486"/>
      <c r="C177" s="489" t="s">
        <v>158</v>
      </c>
      <c r="D177" s="522" t="e">
        <f>D175+1</f>
        <v>#NUM!</v>
      </c>
      <c r="E177" s="211" t="e">
        <f>DATE(YEAR(E176),MONTH(E176),DAY(E176)+1)</f>
        <v>#NUM!</v>
      </c>
      <c r="F177" s="227" t="e">
        <f t="shared" si="69"/>
        <v>#NUM!</v>
      </c>
      <c r="G177" s="228" t="e">
        <f t="shared" si="70"/>
        <v>#NUM!</v>
      </c>
      <c r="H177" s="227" t="e">
        <f t="shared" si="71"/>
        <v>#NUM!</v>
      </c>
      <c r="I177" s="231">
        <f>IF(J176&lt;13,J176,"")</f>
        <v>3</v>
      </c>
      <c r="J177" s="230">
        <f>J178+3</f>
        <v>9</v>
      </c>
      <c r="K177" s="501" t="str">
        <f t="shared" si="62"/>
        <v/>
      </c>
      <c r="L177" s="471"/>
      <c r="M177" s="473" t="e">
        <f ca="1">SUM(J170-E178)&amp;" Tage"</f>
        <v>#NUM!</v>
      </c>
      <c r="N177" s="216"/>
      <c r="O177" s="188"/>
      <c r="P177" s="188"/>
      <c r="Q177" s="217"/>
      <c r="R177" s="189"/>
      <c r="S177" s="190"/>
      <c r="T177" s="190"/>
      <c r="U177" s="191"/>
      <c r="V177" s="192"/>
      <c r="W177" s="190"/>
      <c r="X177" s="190"/>
      <c r="Y177" s="191"/>
      <c r="Z177" s="192"/>
      <c r="AA177" s="190"/>
      <c r="AB177" s="190"/>
      <c r="AC177" s="191"/>
      <c r="AD177" s="192"/>
      <c r="AE177" s="190"/>
      <c r="AF177" s="190"/>
      <c r="AG177" s="191"/>
      <c r="AH177" s="193"/>
      <c r="AI177" s="190"/>
      <c r="AJ177" s="190"/>
      <c r="AK177" s="374"/>
      <c r="AL177" s="348"/>
      <c r="AM177" s="354"/>
      <c r="AN177" s="354"/>
      <c r="AO177" s="354"/>
      <c r="AP177" s="354"/>
      <c r="AQ177" s="350"/>
      <c r="AR177" s="769"/>
      <c r="AS177" s="769"/>
      <c r="AT177" s="769"/>
      <c r="AW177"/>
      <c r="AX177"/>
      <c r="AY177" s="280"/>
      <c r="AZ177"/>
      <c r="BA177"/>
      <c r="BB177"/>
      <c r="BC177"/>
      <c r="BD177"/>
      <c r="BE177"/>
      <c r="BF177"/>
      <c r="BG177" s="280"/>
      <c r="BH177"/>
      <c r="BI177"/>
      <c r="BJ177"/>
      <c r="BK177"/>
      <c r="BL177"/>
      <c r="BM177"/>
      <c r="BN177"/>
      <c r="BO177"/>
      <c r="BS177" s="335"/>
      <c r="BT177" s="335"/>
      <c r="BU177" s="335"/>
      <c r="BV177" s="335"/>
      <c r="BW177" s="335"/>
      <c r="BX177" s="335"/>
      <c r="BY177" s="335"/>
      <c r="BZ177" s="335"/>
      <c r="CA177" s="335"/>
      <c r="CB177" s="335"/>
      <c r="CC177" s="335"/>
      <c r="CD177" s="335"/>
      <c r="CE177" s="335"/>
      <c r="CF177" s="335"/>
      <c r="CG177" s="335"/>
      <c r="CH177" s="335"/>
      <c r="CI177" s="335"/>
    </row>
    <row r="178" spans="1:87" ht="22.25" customHeight="1">
      <c r="A178" s="181">
        <f t="shared" si="58"/>
        <v>45292</v>
      </c>
      <c r="B178" s="485"/>
      <c r="C178" s="490"/>
      <c r="D178" s="521"/>
      <c r="E178" s="218" t="e">
        <f>DATE(YEAR(E177),MONTH(E177)+3,DAY(E177)-1)</f>
        <v>#NUM!</v>
      </c>
      <c r="F178" s="227" t="e">
        <f t="shared" si="69"/>
        <v>#NUM!</v>
      </c>
      <c r="G178" s="228" t="e">
        <f t="shared" si="70"/>
        <v>#NUM!</v>
      </c>
      <c r="H178" s="227" t="e">
        <f t="shared" si="71"/>
        <v>#NUM!</v>
      </c>
      <c r="I178" s="231">
        <f>IF(J175&lt;13,J175,"")</f>
        <v>0</v>
      </c>
      <c r="J178" s="230">
        <f>J176+3</f>
        <v>6</v>
      </c>
      <c r="K178" s="506" t="str">
        <f t="shared" si="62"/>
        <v>+Inflat.-P</v>
      </c>
      <c r="L178" s="508" t="e">
        <f>IF(M169="Stufe A",IF(AND(L170="Auswahl treffen",D177&gt;=0,D177&lt;=1000),J169,IF(AND(L170="Vermögend und ambulant",D177&gt;8,D177&lt;=1000),130,IF(AND(L170="Vermögend und ambulant",D177&gt;4,D177&lt;=8),158,IF(AND(L170="Vermögend und ambulant",D177&gt;2,D177&lt;=4),192,IF(AND(L170="Vermögend und ambulant",D177&gt;1,D177&lt;=2),208,IF(AND(L170="Vermögend und ambulant",D177&gt;0,D177&lt;=1),298,IF(AND(L170="Vermögend und stationär",D177&gt;8,D177&lt;=1000),78,IF(AND(L170="Vermögend und stationär",D177&gt;4,D177&lt;=8),91,IF(AND(L170="Vermögend und stationär",D177&gt;2,D177&lt;=4),140,IF(AND(L170="Vermögend und stationär",D177&gt;1,D177&lt;=2),158,IF(AND(L170="Vermögend und stationär",D177&gt;0,D177&lt;=1),200,IF(AND(L170="Mittellos und ambulant",D177&gt;8,D177&lt;=1000),105,IF(AND(L170="Mittellos und ambulant",D177&gt;4,D177&lt;=8),122,IF(AND(L170="Mittellos und ambulant",D177&gt;2,D177&lt;=4),151,IF(AND(L170="Mittellos und ambulant",D177&gt;1,D177&lt;=2),170,IF(AND(L170="Mittellos und ambulant",D177&gt;0,D177&lt;=1),208,IF(AND(L170="Mittellos und stationär",D177&gt;8,D177&lt;=1000),62,IF(AND(L170="Mittellos und stationär",D177&gt;4,D177&lt;=8),87,IF(AND(L170="Mittellos und stationär",D177&gt;2,D177&lt;=4),124,IF(AND(L170="Mittellos und stationär",D177&gt;1,D177&lt;=2),129,IF(AND(L170="Mittellos und stationär",D177&gt;0,D177&lt;=1),194,""))))))))))))))))))))),IF(M169="Stufe B",IF(AND(L170="Auswahl treffen",D177&gt;=0,D177&lt;=1000),J169,IF(AND(L170="Vermögend und ambulant",D177&gt;8,D177&lt;=1000),161,IF(AND(L170="Vermögend und ambulant",D177&gt;4,D177&lt;=8),196,IF(AND(L170="Vermögend und ambulant",D177&gt;2,D177&lt;=4),238,IF(AND(L170="Vermögend und ambulant",D177&gt;1,D177&lt;=2),258,IF(AND(L170="Vermögend und ambulant",D177&gt;0,D177&lt;=1),370,IF(AND(L170="Vermögend und stationär",D177&gt;8,D177&lt;=1000),96,IF(AND(L170="Vermögend und stationär",D177&gt;4,D177&lt;=8),113,IF(AND(L170="Vermögend und stationär",D177&gt;2,D177&lt;=4),174,IF(AND(L170="Vermögend und stationär",D177&gt;1,D177&lt;=2),196,IF(AND(L170="Vermögend und stationär",D177&gt;0,D177&lt;=1),249,IF(AND(L170="Mittellos und ambulant",D177&gt;8,D177&lt;=1000),130,IF(AND(L170="Mittellos und ambulant",D177&gt;4,D177&lt;=8),151,IF(AND(L170="Mittellos und ambulant",D177&gt;2,D177&lt;=4),188,IF(AND(L170="Mittellos und ambulant",D177&gt;1,D177&lt;=2),211,IF(AND(L170="Mittellos und ambulant",D177&gt;0,D177&lt;=1),258,IF(AND(L170="Mittellos und stationär",D177&gt;8,D177&lt;=1000),78,IF(AND(L170="Mittellos und stationär",D177&gt;4,D177&lt;=8),107,IF(AND(L170="Mittellos und stationär",D177&gt;2,D177&lt;=4),154,IF(AND(L170="Mittellos und stationär",D177&gt;1,D177&lt;=2),158,IF(AND(L170="Mittellos und stationär",D177&gt;0,D177&lt;=1),241,""))))))))))))))))))))),IF(M169="Stufe C",IF(AND(L170="Auswahl treffen",D177&gt;=0,D177&lt;=1000),J169,IF(AND(L170="Vermögend und ambulant",D177&gt;8,D177&lt;=1000),211,IF(AND(L170="Vermögend und ambulant",D177&gt;4,D177&lt;=8),257,IF(AND(L170="Vermögend und ambulant",D177&gt;2,D177&lt;=4),312,IF(AND(L170="Vermögend und ambulant",D177&gt;1,D177&lt;=2),339,IF(AND(L170="Vermögend und ambulant",D177&gt;0,D177&lt;=1),486,IF(AND(L170="Vermögend und stationär",D177&gt;8,D177&lt;=1000),127,IF(AND(L170="Vermögend und stationär",D177&gt;4,D177&lt;=8),149,IF(AND(L170="Vermögend und stationär",D177&gt;2,D177&lt;=4),229,IF(AND(L170="Vermögend und stationär",D177&gt;1,D177&lt;=2),257,IF(AND(L170="Vermögend und stationär",D177&gt;0,D177&lt;=1),327,IF(AND(L170="Mittellos und ambulant",D177&gt;8,D177&lt;=1000),171,IF(AND(L170="Mittellos und ambulant",D177&gt;4,D177&lt;=8),198,IF(AND(L170="Mittellos und ambulant",D177&gt;2,D177&lt;=4),246,IF(AND(L170="Mittellos und ambulant",D177&gt;1,D177&lt;=2),277,IF(AND(L170="Mittellos und ambulant",D177&gt;0,D177&lt;=1),339,IF(AND(L170="Mittellos und stationär",D177&gt;8,D177&lt;=1000),102,IF(AND(L170="Mittellos und stationär",D177&gt;4,D177&lt;=8),141,IF(AND(L170="Mittellos und stationär",D177&gt;2,D177&lt;=4),202,IF(AND(L170="Mittellos und stationär",D177&gt;1,D177&lt;=2),208,IF(AND(L170="Mittellos und stationär",D177&gt;0,D177&lt;=1),317,""))))))))))))))))))))),"")))*3+(J169*90)</f>
        <v>#NUM!</v>
      </c>
      <c r="M178" s="507" t="str">
        <f>CONCATENATE(K178, K177)</f>
        <v>+Inflat.-P</v>
      </c>
      <c r="N178" s="216"/>
      <c r="O178" s="188"/>
      <c r="P178" s="188"/>
      <c r="Q178" s="217" t="s">
        <v>118</v>
      </c>
      <c r="R178" s="189"/>
      <c r="S178" s="190"/>
      <c r="T178" s="190"/>
      <c r="U178" s="191"/>
      <c r="V178" s="192"/>
      <c r="W178" s="190"/>
      <c r="X178" s="190"/>
      <c r="Y178" s="191"/>
      <c r="Z178" s="192"/>
      <c r="AA178" s="190"/>
      <c r="AB178" s="190"/>
      <c r="AC178" s="191"/>
      <c r="AD178" s="192"/>
      <c r="AE178" s="190" t="s">
        <v>118</v>
      </c>
      <c r="AF178" s="190" t="s">
        <v>117</v>
      </c>
      <c r="AG178" s="191" t="s">
        <v>26</v>
      </c>
      <c r="AH178" s="193"/>
      <c r="AI178" s="190" t="s">
        <v>118</v>
      </c>
      <c r="AJ178" s="190" t="s">
        <v>117</v>
      </c>
      <c r="AK178" s="374" t="s">
        <v>26</v>
      </c>
      <c r="AL178" s="348" t="s">
        <v>151</v>
      </c>
      <c r="AM178" s="354"/>
      <c r="AN178" s="354"/>
      <c r="AO178" s="354"/>
      <c r="AP178" s="354">
        <f>IF(SUM(Q170:Q178)=SUM(AE170:AE178,AI170:AI178), 0, SUM(Q170:Q178)-SUM(AE170:AE178,AI170:AI178))</f>
        <v>0</v>
      </c>
      <c r="AQ178" s="350">
        <f>AM178+AN178+AO178+AP178</f>
        <v>0</v>
      </c>
      <c r="AR178" s="769"/>
      <c r="AS178" s="769"/>
      <c r="AT178" s="769"/>
      <c r="AW178"/>
      <c r="AX178"/>
      <c r="AY178" s="280"/>
      <c r="AZ178"/>
      <c r="BA178"/>
      <c r="BB178"/>
      <c r="BC178"/>
      <c r="BD178"/>
      <c r="BE178"/>
      <c r="BF178"/>
      <c r="BG178" s="280"/>
      <c r="BH178"/>
      <c r="BI178"/>
      <c r="BJ178"/>
      <c r="BK178"/>
      <c r="BL178"/>
      <c r="BM178"/>
      <c r="BN178"/>
      <c r="BO178"/>
      <c r="BS178" s="335"/>
      <c r="BT178" s="335"/>
      <c r="BU178" s="335"/>
      <c r="BV178" s="335"/>
      <c r="BW178" s="335"/>
      <c r="BX178" s="335"/>
      <c r="BY178" s="335"/>
      <c r="BZ178" s="335"/>
      <c r="CA178" s="335"/>
      <c r="CB178" s="335"/>
      <c r="CC178" s="335"/>
      <c r="CD178" s="335"/>
      <c r="CE178" s="335"/>
      <c r="CF178" s="335"/>
      <c r="CG178" s="335"/>
      <c r="CH178" s="335"/>
      <c r="CI178" s="335"/>
    </row>
    <row r="179" spans="1:87" ht="22" customHeight="1">
      <c r="A179" s="181">
        <f t="shared" si="58"/>
        <v>45292</v>
      </c>
      <c r="B179" s="232" t="s">
        <v>74</v>
      </c>
      <c r="C179" s="233" t="s">
        <v>75</v>
      </c>
      <c r="D179" s="234" t="s">
        <v>76</v>
      </c>
      <c r="E179" s="235" t="s">
        <v>11</v>
      </c>
      <c r="F179" s="235" t="s">
        <v>4</v>
      </c>
      <c r="G179" s="235" t="s">
        <v>5</v>
      </c>
      <c r="H179" s="235" t="s">
        <v>6</v>
      </c>
      <c r="I179" s="236" t="s">
        <v>77</v>
      </c>
      <c r="J179" s="479"/>
      <c r="K179" s="501" t="str">
        <f t="shared" si="62"/>
        <v/>
      </c>
      <c r="L179" s="479" t="str">
        <f>IFERROR(VLOOKUP(B180,'Aktuelle Einnahmen'!A2:J104,10,0),"")</f>
        <v/>
      </c>
      <c r="M179" s="512" t="str">
        <f>M169</f>
        <v>Stufe C</v>
      </c>
      <c r="N179" s="237"/>
      <c r="O179" s="238"/>
      <c r="P179" s="238"/>
      <c r="Q179" s="239"/>
      <c r="R179" s="240"/>
      <c r="S179" s="241"/>
      <c r="T179" s="241"/>
      <c r="U179" s="242"/>
      <c r="V179" s="243"/>
      <c r="W179" s="241"/>
      <c r="X179" s="241"/>
      <c r="Y179" s="242"/>
      <c r="Z179" s="243"/>
      <c r="AA179" s="241"/>
      <c r="AB179" s="241"/>
      <c r="AC179" s="242"/>
      <c r="AD179" s="243"/>
      <c r="AE179" s="241"/>
      <c r="AF179" s="241"/>
      <c r="AG179" s="242"/>
      <c r="AH179" s="240"/>
      <c r="AI179" s="241"/>
      <c r="AJ179" s="241"/>
      <c r="AK179" s="377"/>
      <c r="AL179" s="347"/>
      <c r="AM179" s="353"/>
      <c r="AN179" s="353"/>
      <c r="AO179" s="353"/>
      <c r="AP179" s="353"/>
      <c r="AQ179" s="349"/>
      <c r="AR179" s="768"/>
      <c r="AS179" s="768"/>
      <c r="AT179" s="768"/>
      <c r="AW179"/>
      <c r="AX179"/>
      <c r="AY179" s="280"/>
      <c r="AZ179"/>
      <c r="BA179"/>
      <c r="BB179"/>
      <c r="BC179"/>
      <c r="BD179"/>
      <c r="BE179"/>
      <c r="BF179"/>
      <c r="BG179" s="280"/>
      <c r="BH179"/>
      <c r="BI179"/>
      <c r="BJ179"/>
      <c r="BK179"/>
      <c r="BL179"/>
      <c r="BM179"/>
      <c r="BN179"/>
      <c r="BO179"/>
      <c r="BS179" s="335"/>
      <c r="BT179" s="335"/>
      <c r="BU179" s="335"/>
      <c r="BV179" s="335"/>
      <c r="BW179" s="335"/>
      <c r="BX179" s="335"/>
      <c r="BY179" s="335"/>
      <c r="BZ179" s="335"/>
      <c r="CA179" s="335"/>
      <c r="CB179" s="335"/>
      <c r="CC179" s="335"/>
      <c r="CD179" s="335"/>
      <c r="CE179" s="335"/>
      <c r="CF179" s="335"/>
      <c r="CG179" s="335"/>
      <c r="CH179" s="335"/>
      <c r="CI179" s="335"/>
    </row>
    <row r="180" spans="1:87" ht="23" customHeight="1">
      <c r="A180" s="181">
        <f t="shared" si="58"/>
        <v>45292</v>
      </c>
      <c r="B180" s="182">
        <v>18</v>
      </c>
      <c r="C180" s="245">
        <f>IFERROR(VLOOKUP($B180,'Aktuelle Einnahmen'!A2:G104,3,0),"")</f>
        <v>0</v>
      </c>
      <c r="D180" s="246">
        <f>IFERROR(VLOOKUP($B180,'Aktuelle Einnahmen'!A2:G104,2,0),"")</f>
        <v>0</v>
      </c>
      <c r="E180" s="247">
        <f>IFERROR(VLOOKUP($B180,'Aktuelle Einnahmen'!A2:G104,4,0),"")</f>
        <v>0</v>
      </c>
      <c r="F180" s="94">
        <f>IFERROR(VLOOKUP($B180,'Aktuelle Einnahmen'!A2:G104,5,0),"")</f>
        <v>0</v>
      </c>
      <c r="G180" s="94">
        <f>IFERROR(VLOOKUP($B180,'Aktuelle Einnahmen'!A2:G104,6,0),"")</f>
        <v>0</v>
      </c>
      <c r="H180" s="94">
        <f>IFERROR(VLOOKUP($B180,'Aktuelle Einnahmen'!A2:G104,7,0),"")</f>
        <v>0</v>
      </c>
      <c r="I180" s="186" t="e">
        <f>DATE(H180,G180,F180)</f>
        <v>#NUM!</v>
      </c>
      <c r="J180" s="472">
        <f ca="1">J170</f>
        <v>45475</v>
      </c>
      <c r="K180" s="501" t="str">
        <f t="shared" si="62"/>
        <v>+Inflat.-P</v>
      </c>
      <c r="L180" s="1262" t="str">
        <f>IFERROR(VLOOKUP(B180,'Aktuelle Einnahmen'!A12:I114,9,0),"")</f>
        <v>Auswahl treffen</v>
      </c>
      <c r="M180" s="1263"/>
      <c r="N180" s="261"/>
      <c r="O180" s="261"/>
      <c r="P180" s="261"/>
      <c r="Q180" s="261"/>
      <c r="R180" s="189"/>
      <c r="S180" s="190"/>
      <c r="T180" s="190"/>
      <c r="U180" s="191"/>
      <c r="V180" s="192"/>
      <c r="W180" s="190"/>
      <c r="X180" s="190"/>
      <c r="Y180" s="191"/>
      <c r="Z180" s="192"/>
      <c r="AA180" s="190"/>
      <c r="AB180" s="190"/>
      <c r="AC180" s="191"/>
      <c r="AD180" s="192"/>
      <c r="AE180" s="190"/>
      <c r="AF180" s="190"/>
      <c r="AG180" s="191"/>
      <c r="AH180" s="193"/>
      <c r="AI180" s="190"/>
      <c r="AJ180" s="190"/>
      <c r="AK180" s="374"/>
      <c r="AL180" s="348"/>
      <c r="AM180" s="354"/>
      <c r="AN180" s="354"/>
      <c r="AO180" s="354"/>
      <c r="AP180" s="354"/>
      <c r="AQ180" s="350"/>
      <c r="AR180" s="769"/>
      <c r="AS180" s="769"/>
      <c r="AT180" s="769"/>
      <c r="AW180"/>
      <c r="AX180"/>
      <c r="AY180" s="280"/>
      <c r="AZ180"/>
      <c r="BA180"/>
      <c r="BB180"/>
      <c r="BC180"/>
      <c r="BD180"/>
      <c r="BE180"/>
      <c r="BF180"/>
      <c r="BG180" s="280"/>
      <c r="BH180"/>
      <c r="BI180"/>
      <c r="BJ180"/>
      <c r="BK180"/>
      <c r="BL180"/>
      <c r="BM180"/>
      <c r="BN180"/>
      <c r="BO180"/>
      <c r="BS180" s="335"/>
      <c r="BT180" s="335"/>
      <c r="BU180" s="335"/>
      <c r="BV180" s="335"/>
      <c r="BW180" s="335"/>
      <c r="BX180" s="335"/>
      <c r="BY180" s="335"/>
      <c r="BZ180" s="335"/>
      <c r="CA180" s="335"/>
      <c r="CB180" s="335"/>
      <c r="CC180" s="335"/>
      <c r="CD180" s="335"/>
      <c r="CE180" s="335"/>
      <c r="CF180" s="335"/>
      <c r="CG180" s="335"/>
      <c r="CH180" s="335"/>
      <c r="CI180" s="335"/>
    </row>
    <row r="181" spans="1:87" ht="22.25" customHeight="1">
      <c r="A181" s="181">
        <f t="shared" si="58"/>
        <v>45292</v>
      </c>
      <c r="B181" s="484" t="e">
        <f>DAY(I180)</f>
        <v>#NUM!</v>
      </c>
      <c r="C181" s="489" t="s">
        <v>158</v>
      </c>
      <c r="D181" s="520" t="e">
        <f>(I181*4)+J181/3+1</f>
        <v>#NUM!</v>
      </c>
      <c r="E181" s="194" t="e">
        <f>J183+1</f>
        <v>#NUM!</v>
      </c>
      <c r="F181" s="195" t="e">
        <f t="shared" ref="F181:F188" si="72">DAY(E181)</f>
        <v>#NUM!</v>
      </c>
      <c r="G181" s="196" t="e">
        <f t="shared" ref="G181:G188" si="73">MONTH(E181)</f>
        <v>#NUM!</v>
      </c>
      <c r="H181" s="195" t="e">
        <f t="shared" ref="H181:H188" si="74">YEAR(E181)</f>
        <v>#NUM!</v>
      </c>
      <c r="I181" s="197" t="e">
        <f>H181-(H180+2000)</f>
        <v>#NUM!</v>
      </c>
      <c r="J181" s="198" t="e">
        <f>G181-G180</f>
        <v>#NUM!</v>
      </c>
      <c r="K181" s="506" t="str">
        <f>L179</f>
        <v/>
      </c>
      <c r="L181" s="469"/>
      <c r="M181" s="473" t="e">
        <f ca="1">SUM(J180-E182)&amp;" Tage"</f>
        <v>#NUM!</v>
      </c>
      <c r="N181" s="206"/>
      <c r="O181" s="201"/>
      <c r="P181" s="201"/>
      <c r="Q181" s="202"/>
      <c r="R181" s="189"/>
      <c r="S181" s="203"/>
      <c r="T181" s="203"/>
      <c r="U181" s="204"/>
      <c r="V181" s="192"/>
      <c r="W181" s="203"/>
      <c r="X181" s="203"/>
      <c r="Y181" s="204"/>
      <c r="Z181" s="192"/>
      <c r="AA181" s="203"/>
      <c r="AB181" s="203"/>
      <c r="AC181" s="204"/>
      <c r="AD181" s="192"/>
      <c r="AE181" s="203"/>
      <c r="AF181" s="203"/>
      <c r="AG181" s="204"/>
      <c r="AH181" s="193"/>
      <c r="AI181" s="203"/>
      <c r="AJ181" s="203"/>
      <c r="AK181" s="375"/>
      <c r="AL181" s="348"/>
      <c r="AM181" s="354"/>
      <c r="AN181" s="354"/>
      <c r="AO181" s="354"/>
      <c r="AP181" s="354"/>
      <c r="AQ181" s="350"/>
      <c r="AR181" s="769"/>
      <c r="AS181" s="769"/>
      <c r="AT181" s="769"/>
      <c r="AW181"/>
      <c r="AX181"/>
      <c r="AY181" s="280"/>
      <c r="AZ181"/>
      <c r="BA181"/>
      <c r="BB181"/>
      <c r="BC181"/>
      <c r="BD181"/>
      <c r="BE181"/>
      <c r="BF181"/>
      <c r="BG181" s="280"/>
      <c r="BH181"/>
      <c r="BI181"/>
      <c r="BJ181"/>
      <c r="BK181"/>
      <c r="BL181"/>
      <c r="BM181"/>
      <c r="BN181"/>
      <c r="BO181"/>
      <c r="BS181" s="335"/>
      <c r="BT181" s="335"/>
      <c r="BU181" s="335"/>
      <c r="BV181" s="335"/>
      <c r="BW181" s="335"/>
      <c r="BX181" s="335"/>
      <c r="BY181" s="335"/>
      <c r="BZ181" s="335"/>
      <c r="CA181" s="335"/>
      <c r="CB181" s="335"/>
      <c r="CC181" s="335"/>
      <c r="CD181" s="335"/>
      <c r="CE181" s="335"/>
      <c r="CF181" s="335"/>
      <c r="CG181" s="335"/>
      <c r="CH181" s="335"/>
      <c r="CI181" s="335"/>
    </row>
    <row r="182" spans="1:87" ht="22.25" customHeight="1">
      <c r="A182" s="181">
        <f t="shared" si="58"/>
        <v>45292</v>
      </c>
      <c r="B182" s="485"/>
      <c r="C182" s="490"/>
      <c r="D182" s="521"/>
      <c r="E182" s="194" t="e">
        <f>DATE(YEAR(E181),MONTH(E181)+3,DAY(E181)-1)</f>
        <v>#NUM!</v>
      </c>
      <c r="F182" s="195" t="e">
        <f t="shared" si="72"/>
        <v>#NUM!</v>
      </c>
      <c r="G182" s="196" t="e">
        <f t="shared" si="73"/>
        <v>#NUM!</v>
      </c>
      <c r="H182" s="195" t="e">
        <f t="shared" si="74"/>
        <v>#NUM!</v>
      </c>
      <c r="I182" s="244">
        <v>-1</v>
      </c>
      <c r="J182" s="198" t="e">
        <f>F181-F180</f>
        <v>#NUM!</v>
      </c>
      <c r="K182" s="501" t="str">
        <f t="shared" si="62"/>
        <v>+Inflat.-P</v>
      </c>
      <c r="L182" s="511" t="e">
        <f>IF(M179="Stufe A",IF(AND(L180="Auswahl treffen",D181&gt;=0,D181&lt;=1000),J179,IF(AND(L180="Vermögend und ambulant",D181&gt;8,D181&lt;=1000),130,IF(AND(L180="Vermögend und ambulant",D181&gt;4,D181&lt;=8),158,IF(AND(L180="Vermögend und ambulant",D181&gt;2,D181&lt;=4),192,IF(AND(L180="Vermögend und ambulant",D181&gt;1,D181&lt;=2),208,IF(AND(L180="Vermögend und ambulant",D181&gt;0,D181&lt;=1),298,IF(AND(L180="Vermögend und stationär",D181&gt;8,D181&lt;=1000),78,IF(AND(L180="Vermögend und stationär",D181&gt;4,D181&lt;=8),91,IF(AND(L180="Vermögend und stationär",D181&gt;2,D181&lt;=4),140,IF(AND(L180="Vermögend und stationär",D181&gt;1,D181&lt;=2),158,IF(AND(L180="Vermögend und stationär",D181&gt;0,D181&lt;=1),200,IF(AND(L180="Mittellos und ambulant",D181&gt;8,D181&lt;=1000),105,IF(AND(L180="Mittellos und ambulant",D181&gt;4,D181&lt;=8),122,IF(AND(L180="Mittellos und ambulant",D181&gt;2,D181&lt;=4),151,IF(AND(L180="Mittellos und ambulant",D181&gt;1,D181&lt;=2),170,IF(AND(L180="Mittellos und ambulant",D181&gt;0,D181&lt;=1),208,IF(AND(L180="Mittellos und stationär",D181&gt;8,D181&lt;=1000),62,IF(AND(L180="Mittellos und stationär",D181&gt;4,D181&lt;=8),87,IF(AND(L180="Mittellos und stationär",D181&gt;2,D181&lt;=4),124,IF(AND(L180="Mittellos und stationär",D181&gt;1,D181&lt;=2),129,IF(AND(L180="Mittellos und stationär",D181&gt;0,D181&lt;=1),194,""))))))))))))))))))))),IF(M179="Stufe B",IF(AND(L180="Auswahl treffen",D181&gt;=0,D181&lt;=1000),J179,IF(AND(L180="Vermögend und ambulant",D181&gt;8,D181&lt;=1000),161,IF(AND(L180="Vermögend und ambulant",D181&gt;4,D181&lt;=8),196,IF(AND(L180="Vermögend und ambulant",D181&gt;2,D181&lt;=4),238,IF(AND(L180="Vermögend und ambulant",D181&gt;1,D181&lt;=2),258,IF(AND(L180="Vermögend und ambulant",D181&gt;0,D181&lt;=1),370,IF(AND(L180="Vermögend und stationär",D181&gt;8,D181&lt;=1000),96,IF(AND(L180="Vermögend und stationär",D181&gt;4,D181&lt;=8),113,IF(AND(L180="Vermögend und stationär",D181&gt;2,D181&lt;=4),174,IF(AND(L180="Vermögend und stationär",D181&gt;1,D181&lt;=2),196,IF(AND(L180="Vermögend und stationär",D181&gt;0,D181&lt;=1),249,IF(AND(L180="Mittellos und ambulant",D181&gt;8,D181&lt;=1000),130,IF(AND(L180="Mittellos und ambulant",D181&gt;4,D181&lt;=8),151,IF(AND(L180="Mittellos und ambulant",D181&gt;2,D181&lt;=4),188,IF(AND(L180="Mittellos und ambulant",D181&gt;1,D181&lt;=2),211,IF(AND(L180="Mittellos und ambulant",D181&gt;0,D181&lt;=1),258,IF(AND(L180="Mittellos und stationär",D181&gt;8,D181&lt;=1000),78,IF(AND(L180="Mittellos und stationär",D181&gt;4,D181&lt;=8),107,IF(AND(L180="Mittellos und stationär",D181&gt;2,D181&lt;=4),154,IF(AND(L180="Mittellos und stationär",D181&gt;1,D181&lt;=2),158,IF(AND(L180="Mittellos und stationär",D181&gt;0,D181&lt;=1),241,""))))))))))))))))))))),IF(M179="Stufe C",IF(AND(L180="Auswahl treffen",D181&gt;=0,D181&lt;=1000),J179,IF(AND(L180="Vermögend und ambulant",D181&gt;8,D181&lt;=1000),211,IF(AND(L180="Vermögend und ambulant",D181&gt;4,D181&lt;=8),257,IF(AND(L180="Vermögend und ambulant",D181&gt;2,D181&lt;=4),312,IF(AND(L180="Vermögend und ambulant",D181&gt;1,D181&lt;=2),339,IF(AND(L180="Vermögend und ambulant",D181&gt;0,D181&lt;=1),486,IF(AND(L180="Vermögend und stationär",D181&gt;8,D181&lt;=1000),127,IF(AND(L180="Vermögend und stationär",D181&gt;4,D181&lt;=8),149,IF(AND(L180="Vermögend und stationär",D181&gt;2,D181&lt;=4),229,IF(AND(L180="Vermögend und stationär",D181&gt;1,D181&lt;=2),257,IF(AND(L180="Vermögend und stationär",D181&gt;0,D181&lt;=1),327,IF(AND(L180="Mittellos und ambulant",D181&gt;8,D181&lt;=1000),171,IF(AND(L180="Mittellos und ambulant",D181&gt;4,D181&lt;=8),198,IF(AND(L180="Mittellos und ambulant",D181&gt;2,D181&lt;=4),246,IF(AND(L180="Mittellos und ambulant",D181&gt;1,D181&lt;=2),277,IF(AND(L180="Mittellos und ambulant",D181&gt;0,D181&lt;=1),339,IF(AND(L180="Mittellos und stationär",D181&gt;8,D181&lt;=1000),102,IF(AND(L180="Mittellos und stationär",D181&gt;4,D181&lt;=8),141,IF(AND(L180="Mittellos und stationär",D181&gt;2,D181&lt;=4),202,IF(AND(L180="Mittellos und stationär",D181&gt;1,D181&lt;=2),208,IF(AND(L180="Mittellos und stationär",D181&gt;0,D181&lt;=1),317,""))))))))))))))))))))),"")))*3+(J179*90)</f>
        <v>#NUM!</v>
      </c>
      <c r="M182" s="507" t="str">
        <f>CONCATENATE(K182, K181)</f>
        <v>+Inflat.-P</v>
      </c>
      <c r="N182" s="206" t="s">
        <v>118</v>
      </c>
      <c r="O182" s="207"/>
      <c r="P182" s="207"/>
      <c r="Q182" s="208"/>
      <c r="R182" s="187"/>
      <c r="S182" s="209" t="s">
        <v>118</v>
      </c>
      <c r="T182" s="201" t="s">
        <v>117</v>
      </c>
      <c r="U182" s="210" t="s">
        <v>26</v>
      </c>
      <c r="V182" s="192"/>
      <c r="W182" s="203"/>
      <c r="X182" s="203"/>
      <c r="Y182" s="210"/>
      <c r="Z182" s="192"/>
      <c r="AA182" s="203"/>
      <c r="AB182" s="203"/>
      <c r="AC182" s="210"/>
      <c r="AD182" s="192"/>
      <c r="AE182" s="203"/>
      <c r="AF182" s="203"/>
      <c r="AG182" s="210"/>
      <c r="AH182" s="193"/>
      <c r="AI182" s="203"/>
      <c r="AJ182" s="203"/>
      <c r="AK182" s="376"/>
      <c r="AL182" s="348" t="s">
        <v>148</v>
      </c>
      <c r="AM182" s="354">
        <f>IF(SUM(N180:N188)=SUM(S180:S188), 0, SUM(N180:N188)-SUM(S180:S188))</f>
        <v>0</v>
      </c>
      <c r="AN182" s="354"/>
      <c r="AO182" s="354"/>
      <c r="AP182" s="354"/>
      <c r="AQ182" s="350">
        <f>AM182+AN182+AO182+AP182</f>
        <v>0</v>
      </c>
      <c r="AR182" s="769"/>
      <c r="AS182" s="769"/>
      <c r="AT182" s="769"/>
      <c r="AW182"/>
      <c r="AX182"/>
      <c r="AY182" s="280"/>
      <c r="AZ182"/>
      <c r="BA182"/>
      <c r="BB182"/>
      <c r="BC182"/>
      <c r="BD182"/>
      <c r="BE182"/>
      <c r="BF182"/>
      <c r="BG182" s="280"/>
      <c r="BH182"/>
      <c r="BI182"/>
      <c r="BJ182"/>
      <c r="BK182"/>
      <c r="BL182"/>
      <c r="BM182"/>
      <c r="BN182"/>
      <c r="BO182"/>
    </row>
    <row r="183" spans="1:87" ht="22.25" customHeight="1">
      <c r="A183" s="181">
        <f t="shared" si="58"/>
        <v>45292</v>
      </c>
      <c r="B183" s="484" t="e">
        <f>MONTH(I180)</f>
        <v>#NUM!</v>
      </c>
      <c r="C183" s="489" t="s">
        <v>158</v>
      </c>
      <c r="D183" s="522" t="e">
        <f>D181+1</f>
        <v>#NUM!</v>
      </c>
      <c r="E183" s="211" t="e">
        <f>DATE(YEAR(E182),MONTH(E182),DAY(E182)+1)</f>
        <v>#NUM!</v>
      </c>
      <c r="F183" s="212" t="e">
        <f t="shared" si="72"/>
        <v>#NUM!</v>
      </c>
      <c r="G183" s="213" t="e">
        <f t="shared" si="73"/>
        <v>#NUM!</v>
      </c>
      <c r="H183" s="212" t="e">
        <f t="shared" si="74"/>
        <v>#NUM!</v>
      </c>
      <c r="I183" s="214" t="str">
        <f>IF(D180&lt;&gt;0,"-1T","")</f>
        <v/>
      </c>
      <c r="J183" s="215" t="e">
        <f>DATE($B185,I184,$B181)</f>
        <v>#NUM!</v>
      </c>
      <c r="K183" s="506" t="str">
        <f t="shared" si="62"/>
        <v/>
      </c>
      <c r="L183" s="470"/>
      <c r="M183" s="473" t="e">
        <f ca="1">SUM(J180-E184)&amp;" Tage"</f>
        <v>#NUM!</v>
      </c>
      <c r="N183" s="216"/>
      <c r="O183" s="217"/>
      <c r="P183" s="188"/>
      <c r="Q183" s="217"/>
      <c r="R183" s="189"/>
      <c r="S183" s="190"/>
      <c r="T183" s="190"/>
      <c r="U183" s="191"/>
      <c r="V183" s="192"/>
      <c r="W183" s="190"/>
      <c r="X183" s="190"/>
      <c r="Y183" s="191"/>
      <c r="Z183" s="192"/>
      <c r="AA183" s="190"/>
      <c r="AB183" s="190"/>
      <c r="AC183" s="191"/>
      <c r="AD183" s="192"/>
      <c r="AE183" s="190"/>
      <c r="AF183" s="190"/>
      <c r="AG183" s="191"/>
      <c r="AH183" s="193"/>
      <c r="AI183" s="190"/>
      <c r="AJ183" s="190"/>
      <c r="AK183" s="374"/>
      <c r="AL183" s="348"/>
      <c r="AM183" s="354"/>
      <c r="AN183" s="354"/>
      <c r="AO183" s="354"/>
      <c r="AP183" s="354"/>
      <c r="AQ183" s="350"/>
      <c r="AR183" s="769"/>
      <c r="AS183" s="769"/>
      <c r="AT183" s="769"/>
      <c r="AW183"/>
      <c r="AX183"/>
      <c r="AY183" s="280"/>
      <c r="AZ183"/>
      <c r="BA183"/>
      <c r="BB183"/>
      <c r="BC183"/>
      <c r="BD183"/>
      <c r="BE183"/>
      <c r="BF183"/>
      <c r="BG183" s="280"/>
      <c r="BH183"/>
      <c r="BI183"/>
      <c r="BJ183"/>
      <c r="BK183"/>
      <c r="BL183"/>
      <c r="BM183"/>
      <c r="BN183"/>
      <c r="BO183"/>
    </row>
    <row r="184" spans="1:87" ht="22.25" customHeight="1">
      <c r="A184" s="181">
        <f t="shared" si="58"/>
        <v>45292</v>
      </c>
      <c r="B184" s="485"/>
      <c r="C184" s="490"/>
      <c r="D184" s="521"/>
      <c r="E184" s="218" t="e">
        <f>DATE(YEAR(E183),MONTH(E183)+3,DAY(E183)-1)</f>
        <v>#NUM!</v>
      </c>
      <c r="F184" s="212" t="e">
        <f t="shared" si="72"/>
        <v>#NUM!</v>
      </c>
      <c r="G184" s="213" t="e">
        <f t="shared" si="73"/>
        <v>#NUM!</v>
      </c>
      <c r="H184" s="212" t="e">
        <f t="shared" si="74"/>
        <v>#NUM!</v>
      </c>
      <c r="I184" s="219">
        <f>MAX(I185:I188)</f>
        <v>9</v>
      </c>
      <c r="J184" s="220" t="e">
        <f>DATE(YEAR(J183)+1,MONTH(J183),DAY(J183))</f>
        <v>#NUM!</v>
      </c>
      <c r="K184" s="501" t="str">
        <f t="shared" si="62"/>
        <v>+Inflat.-P</v>
      </c>
      <c r="L184" s="508" t="e">
        <f>IF(M179="Stufe A",IF(AND(L180="Auswahl treffen",D183&gt;=0,D183&lt;=1000),J179,IF(AND(L180="Vermögend und ambulant",D183&gt;8,D183&lt;=1000),130,IF(AND(L180="Vermögend und ambulant",D183&gt;4,D183&lt;=8),158,IF(AND(L180="Vermögend und ambulant",D183&gt;2,D183&lt;=4),192,IF(AND(L180="Vermögend und ambulant",D183&gt;1,D183&lt;=2),208,IF(AND(L180="Vermögend und ambulant",D183&gt;0,D183&lt;=1),298,IF(AND(L180="Vermögend und stationär",D183&gt;8,D183&lt;=1000),78,IF(AND(L180="Vermögend und stationär",D183&gt;4,D183&lt;=8),91,IF(AND(L180="Vermögend und stationär",D183&gt;2,D183&lt;=4),140,IF(AND(L180="Vermögend und stationär",D183&gt;1,D183&lt;=2),158,IF(AND(L180="Vermögend und stationär",D183&gt;0,D183&lt;=1),200,IF(AND(L180="Mittellos und ambulant",D183&gt;8,D183&lt;=1000),105,IF(AND(L180="Mittellos und ambulant",D183&gt;4,D183&lt;=8),122,IF(AND(L180="Mittellos und ambulant",D183&gt;2,D183&lt;=4),151,IF(AND(L180="Mittellos und ambulant",D183&gt;1,D183&lt;=2),170,IF(AND(L180="Mittellos und ambulant",D183&gt;0,D183&lt;=1),208,IF(AND(L180="Mittellos und stationär",D183&gt;8,D183&lt;=1000),62,IF(AND(L180="Mittellos und stationär",D183&gt;4,D183&lt;=8),87,IF(AND(L180="Mittellos und stationär",D183&gt;2,D183&lt;=4),124,IF(AND(L180="Mittellos und stationär",D183&gt;1,D183&lt;=2),129,IF(AND(L180="Mittellos und stationär",D183&gt;0,D183&lt;=1),194,""))))))))))))))))))))),IF(M179="Stufe B",IF(AND(L180="Auswahl treffen",D183&gt;=0,D183&lt;=1000),J179,IF(AND(L180="Vermögend und ambulant",D183&gt;8,D183&lt;=1000),161,IF(AND(L180="Vermögend und ambulant",D183&gt;4,D183&lt;=8),196,IF(AND(L180="Vermögend und ambulant",D183&gt;2,D183&lt;=4),238,IF(AND(L180="Vermögend und ambulant",D183&gt;1,D183&lt;=2),258,IF(AND(L180="Vermögend und ambulant",D183&gt;0,D183&lt;=1),370,IF(AND(L180="Vermögend und stationär",D183&gt;8,D183&lt;=1000),96,IF(AND(L180="Vermögend und stationär",D183&gt;4,D183&lt;=8),113,IF(AND(L180="Vermögend und stationär",D183&gt;2,D183&lt;=4),174,IF(AND(L180="Vermögend und stationär",D183&gt;1,D183&lt;=2),196,IF(AND(L180="Vermögend und stationär",D183&gt;0,D183&lt;=1),249,IF(AND(L180="Mittellos und ambulant",D183&gt;8,D183&lt;=1000),130,IF(AND(L180="Mittellos und ambulant",D183&gt;4,D183&lt;=8),151,IF(AND(L180="Mittellos und ambulant",D183&gt;2,D183&lt;=4),188,IF(AND(L180="Mittellos und ambulant",D183&gt;1,D183&lt;=2),211,IF(AND(L180="Mittellos und ambulant",D183&gt;0,D183&lt;=1),258,IF(AND(L180="Mittellos und stationär",D183&gt;8,D183&lt;=1000),78,IF(AND(L180="Mittellos und stationär",D183&gt;4,D183&lt;=8),107,IF(AND(L180="Mittellos und stationär",D183&gt;2,D183&lt;=4),154,IF(AND(L180="Mittellos und stationär",D183&gt;1,D183&lt;=2),158,IF(AND(L180="Mittellos und stationär",D183&gt;0,D183&lt;=1),241,""))))))))))))))))))))),IF(M179="Stufe C",IF(AND(L180="Auswahl treffen",D183&gt;=0,D183&lt;=1000),J179,IF(AND(L180="Vermögend und ambulant",D183&gt;8,D183&lt;=1000),211,IF(AND(L180="Vermögend und ambulant",D183&gt;4,D183&lt;=8),257,IF(AND(L180="Vermögend und ambulant",D183&gt;2,D183&lt;=4),312,IF(AND(L180="Vermögend und ambulant",D183&gt;1,D183&lt;=2),339,IF(AND(L180="Vermögend und ambulant",D183&gt;0,D183&lt;=1),486,IF(AND(L180="Vermögend und stationär",D183&gt;8,D183&lt;=1000),127,IF(AND(L180="Vermögend und stationär",D183&gt;4,D183&lt;=8),149,IF(AND(L180="Vermögend und stationär",D183&gt;2,D183&lt;=4),229,IF(AND(L180="Vermögend und stationär",D183&gt;1,D183&lt;=2),257,IF(AND(L180="Vermögend und stationär",D183&gt;0,D183&lt;=1),327,IF(AND(L180="Mittellos und ambulant",D183&gt;8,D183&lt;=1000),171,IF(AND(L180="Mittellos und ambulant",D183&gt;4,D183&lt;=8),198,IF(AND(L180="Mittellos und ambulant",D183&gt;2,D183&lt;=4),246,IF(AND(L180="Mittellos und ambulant",D183&gt;1,D183&lt;=2),277,IF(AND(L180="Mittellos und ambulant",D183&gt;0,D183&lt;=1),339,IF(AND(L180="Mittellos und stationär",D183&gt;8,D183&lt;=1000),102,IF(AND(L180="Mittellos und stationär",D183&gt;4,D183&lt;=8),141,IF(AND(L180="Mittellos und stationär",D183&gt;2,D183&lt;=4),202,IF(AND(L180="Mittellos und stationär",D183&gt;1,D183&lt;=2),208,IF(AND(L180="Mittellos und stationär",D183&gt;0,D183&lt;=1),317,""))))))))))))))))))))),"")))*3+(J179*90)</f>
        <v>#NUM!</v>
      </c>
      <c r="M184" s="507" t="str">
        <f>CONCATENATE(K184, K183)</f>
        <v>+Inflat.-P</v>
      </c>
      <c r="N184" s="216"/>
      <c r="O184" s="188" t="s">
        <v>118</v>
      </c>
      <c r="P184" s="188"/>
      <c r="Q184" s="221"/>
      <c r="R184" s="199"/>
      <c r="S184" s="190"/>
      <c r="T184" s="190"/>
      <c r="U184" s="191"/>
      <c r="V184" s="192"/>
      <c r="W184" s="222" t="s">
        <v>118</v>
      </c>
      <c r="X184" s="222" t="s">
        <v>117</v>
      </c>
      <c r="Y184" s="191" t="s">
        <v>26</v>
      </c>
      <c r="Z184" s="192"/>
      <c r="AA184" s="190"/>
      <c r="AB184" s="190"/>
      <c r="AC184" s="191"/>
      <c r="AD184" s="192"/>
      <c r="AE184" s="190"/>
      <c r="AF184" s="190"/>
      <c r="AG184" s="191"/>
      <c r="AH184" s="193"/>
      <c r="AI184" s="190"/>
      <c r="AJ184" s="190"/>
      <c r="AK184" s="374"/>
      <c r="AL184" s="348" t="s">
        <v>149</v>
      </c>
      <c r="AM184" s="354"/>
      <c r="AN184" s="354">
        <f>IF(SUM(O180:O188)=SUM(W180:W188), 0, SUM(O180:O188)-SUM(W180:W188))</f>
        <v>0</v>
      </c>
      <c r="AO184" s="354"/>
      <c r="AP184" s="354"/>
      <c r="AQ184" s="350">
        <f>AM184+AN184+AO184+AP184</f>
        <v>0</v>
      </c>
      <c r="AR184" s="769"/>
      <c r="AS184" s="769"/>
      <c r="AT184" s="769"/>
      <c r="AW184"/>
      <c r="AX184"/>
      <c r="AY184" s="280"/>
      <c r="AZ184"/>
      <c r="BA184"/>
      <c r="BB184"/>
      <c r="BC184"/>
      <c r="BD184"/>
      <c r="BE184"/>
      <c r="BF184"/>
      <c r="BG184" s="280"/>
      <c r="BH184"/>
      <c r="BI184"/>
      <c r="BJ184"/>
      <c r="BK184"/>
      <c r="BL184"/>
      <c r="BM184"/>
      <c r="BN184"/>
      <c r="BO184"/>
    </row>
    <row r="185" spans="1:87" ht="22.25" customHeight="1">
      <c r="A185" s="181">
        <f t="shared" si="58"/>
        <v>45292</v>
      </c>
      <c r="B185" s="484">
        <f>YEAR($A186)-1</f>
        <v>2023</v>
      </c>
      <c r="C185" s="489" t="s">
        <v>158</v>
      </c>
      <c r="D185" s="520" t="e">
        <f>D183+1</f>
        <v>#NUM!</v>
      </c>
      <c r="E185" s="194" t="e">
        <f>DATE(YEAR(E184),MONTH(E184),DAY(E184)+1)</f>
        <v>#NUM!</v>
      </c>
      <c r="F185" s="195" t="e">
        <f t="shared" si="72"/>
        <v>#NUM!</v>
      </c>
      <c r="G185" s="196" t="e">
        <f t="shared" si="73"/>
        <v>#NUM!</v>
      </c>
      <c r="H185" s="195" t="e">
        <f t="shared" si="74"/>
        <v>#NUM!</v>
      </c>
      <c r="I185" s="197">
        <f>IF(J187&lt;13,J187,"")</f>
        <v>9</v>
      </c>
      <c r="J185" s="224">
        <f>G180</f>
        <v>0</v>
      </c>
      <c r="K185" s="506" t="str">
        <f t="shared" si="62"/>
        <v/>
      </c>
      <c r="L185" s="471"/>
      <c r="M185" s="473" t="e">
        <f ca="1">SUM(J180-E186)&amp;" Tage"</f>
        <v>#NUM!</v>
      </c>
      <c r="N185" s="200"/>
      <c r="O185" s="201"/>
      <c r="P185" s="201"/>
      <c r="Q185" s="202"/>
      <c r="R185" s="189"/>
      <c r="S185" s="203"/>
      <c r="T185" s="203"/>
      <c r="U185" s="204"/>
      <c r="V185" s="192"/>
      <c r="W185" s="203"/>
      <c r="X185" s="203"/>
      <c r="Y185" s="204"/>
      <c r="Z185" s="192"/>
      <c r="AA185" s="203"/>
      <c r="AB185" s="203"/>
      <c r="AC185" s="204"/>
      <c r="AD185" s="192"/>
      <c r="AE185" s="203"/>
      <c r="AF185" s="203"/>
      <c r="AG185" s="204"/>
      <c r="AH185" s="193"/>
      <c r="AI185" s="203"/>
      <c r="AJ185" s="203"/>
      <c r="AK185" s="375"/>
      <c r="AL185" s="348"/>
      <c r="AM185" s="354"/>
      <c r="AN185" s="354"/>
      <c r="AO185" s="354"/>
      <c r="AP185" s="354"/>
      <c r="AQ185" s="350"/>
      <c r="AR185" s="769"/>
      <c r="AS185" s="769"/>
      <c r="AT185" s="769"/>
      <c r="AW185"/>
      <c r="AX185"/>
      <c r="AY185" s="280"/>
      <c r="AZ185"/>
      <c r="BA185"/>
      <c r="BB185"/>
      <c r="BC185"/>
      <c r="BD185"/>
      <c r="BE185"/>
      <c r="BF185"/>
      <c r="BG185" s="280"/>
      <c r="BH185"/>
      <c r="BI185"/>
      <c r="BJ185"/>
      <c r="BK185"/>
      <c r="BL185"/>
      <c r="BM185"/>
      <c r="BN185"/>
      <c r="BO185"/>
    </row>
    <row r="186" spans="1:87" ht="22.25" customHeight="1">
      <c r="A186" s="181">
        <f t="shared" si="58"/>
        <v>45292</v>
      </c>
      <c r="B186" s="485"/>
      <c r="C186" s="490"/>
      <c r="D186" s="521"/>
      <c r="E186" s="194" t="e">
        <f>DATE(YEAR(E185),MONTH(E185)+3,DAY(E185)-1)</f>
        <v>#NUM!</v>
      </c>
      <c r="F186" s="195" t="e">
        <f t="shared" si="72"/>
        <v>#NUM!</v>
      </c>
      <c r="G186" s="196" t="e">
        <f t="shared" si="73"/>
        <v>#NUM!</v>
      </c>
      <c r="H186" s="195" t="e">
        <f t="shared" si="74"/>
        <v>#NUM!</v>
      </c>
      <c r="I186" s="244">
        <f>IF(J188&lt;13,J188,"")</f>
        <v>6</v>
      </c>
      <c r="J186" s="224">
        <f>J185+3</f>
        <v>3</v>
      </c>
      <c r="K186" s="501" t="str">
        <f t="shared" si="62"/>
        <v>+Inflat.-P</v>
      </c>
      <c r="L186" s="511" t="e">
        <f>IF(M179="Stufe A",IF(AND(L180="Auswahl treffen",D185&gt;=0,D185&lt;=1000),J179,IF(AND(L180="Vermögend und ambulant",D185&gt;8,D185&lt;=1000),130,IF(AND(L180="Vermögend und ambulant",D185&gt;4,D185&lt;=8),158,IF(AND(L180="Vermögend und ambulant",D185&gt;2,D185&lt;=4),192,IF(AND(L180="Vermögend und ambulant",D185&gt;1,D185&lt;=2),208,IF(AND(L180="Vermögend und ambulant",D185&gt;0,D185&lt;=1),298,IF(AND(L180="Vermögend und stationär",D185&gt;8,D185&lt;=1000),78,IF(AND(L180="Vermögend und stationär",D185&gt;4,D185&lt;=8),91,IF(AND(L180="Vermögend und stationär",D185&gt;2,D185&lt;=4),140,IF(AND(L180="Vermögend und stationär",D185&gt;1,D185&lt;=2),158,IF(AND(L180="Vermögend und stationär",D185&gt;0,D185&lt;=1),200,IF(AND(L180="Mittellos und ambulant",D185&gt;8,D185&lt;=1000),105,IF(AND(L180="Mittellos und ambulant",D185&gt;4,D185&lt;=8),122,IF(AND(L180="Mittellos und ambulant",D185&gt;2,D185&lt;=4),151,IF(AND(L180="Mittellos und ambulant",D185&gt;1,D185&lt;=2),170,IF(AND(L180="Mittellos und ambulant",D185&gt;0,D185&lt;=1),208,IF(AND(L180="Mittellos und stationär",D185&gt;8,D185&lt;=1000),62,IF(AND(L180="Mittellos und stationär",D185&gt;4,D185&lt;=8),87,IF(AND(L180="Mittellos und stationär",D185&gt;2,D185&lt;=4),124,IF(AND(L180="Mittellos und stationär",D185&gt;1,D185&lt;=2),129,IF(AND(L180="Mittellos und stationär",D185&gt;0,D185&lt;=1),194,""))))))))))))))))))))),IF(M179="Stufe B",IF(AND(L180="Auswahl treffen",D185&gt;=0,D185&lt;=1000),J179,IF(AND(L180="Vermögend und ambulant",D185&gt;8,D185&lt;=1000),161,IF(AND(L180="Vermögend und ambulant",D185&gt;4,D185&lt;=8),196,IF(AND(L180="Vermögend und ambulant",D185&gt;2,D185&lt;=4),238,IF(AND(L180="Vermögend und ambulant",D185&gt;1,D185&lt;=2),258,IF(AND(L180="Vermögend und ambulant",D185&gt;0,D185&lt;=1),370,IF(AND(L180="Vermögend und stationär",D185&gt;8,D185&lt;=1000),96,IF(AND(L180="Vermögend und stationär",D185&gt;4,D185&lt;=8),113,IF(AND(L180="Vermögend und stationär",D185&gt;2,D185&lt;=4),174,IF(AND(L180="Vermögend und stationär",D185&gt;1,D185&lt;=2),196,IF(AND(L180="Vermögend und stationär",D185&gt;0,D185&lt;=1),249,IF(AND(L180="Mittellos und ambulant",D185&gt;8,D185&lt;=1000),130,IF(AND(L180="Mittellos und ambulant",D185&gt;4,D185&lt;=8),151,IF(AND(L180="Mittellos und ambulant",D185&gt;2,D185&lt;=4),188,IF(AND(L180="Mittellos und ambulant",D185&gt;1,D185&lt;=2),211,IF(AND(L180="Mittellos und ambulant",D185&gt;0,D185&lt;=1),258,IF(AND(L180="Mittellos und stationär",D185&gt;8,D185&lt;=1000),78,IF(AND(L180="Mittellos und stationär",D185&gt;4,D185&lt;=8),107,IF(AND(L180="Mittellos und stationär",D185&gt;2,D185&lt;=4),154,IF(AND(L180="Mittellos und stationär",D185&gt;1,D185&lt;=2),158,IF(AND(L180="Mittellos und stationär",D185&gt;0,D185&lt;=1),241,""))))))))))))))))))))),IF(M179="Stufe C",IF(AND(L180="Auswahl treffen",D185&gt;=0,D185&lt;=1000),J179,IF(AND(L180="Vermögend und ambulant",D185&gt;8,D185&lt;=1000),211,IF(AND(L180="Vermögend und ambulant",D185&gt;4,D185&lt;=8),257,IF(AND(L180="Vermögend und ambulant",D185&gt;2,D185&lt;=4),312,IF(AND(L180="Vermögend und ambulant",D185&gt;1,D185&lt;=2),339,IF(AND(L180="Vermögend und ambulant",D185&gt;0,D185&lt;=1),486,IF(AND(L180="Vermögend und stationär",D185&gt;8,D185&lt;=1000),127,IF(AND(L180="Vermögend und stationär",D185&gt;4,D185&lt;=8),149,IF(AND(L180="Vermögend und stationär",D185&gt;2,D185&lt;=4),229,IF(AND(L180="Vermögend und stationär",D185&gt;1,D185&lt;=2),257,IF(AND(L180="Vermögend und stationär",D185&gt;0,D185&lt;=1),327,IF(AND(L180="Mittellos und ambulant",D185&gt;8,D185&lt;=1000),171,IF(AND(L180="Mittellos und ambulant",D185&gt;4,D185&lt;=8),198,IF(AND(L180="Mittellos und ambulant",D185&gt;2,D185&lt;=4),246,IF(AND(L180="Mittellos und ambulant",D185&gt;1,D185&lt;=2),277,IF(AND(L180="Mittellos und ambulant",D185&gt;0,D185&lt;=1),339,IF(AND(L180="Mittellos und stationär",D185&gt;8,D185&lt;=1000),102,IF(AND(L180="Mittellos und stationär",D185&gt;4,D185&lt;=8),141,IF(AND(L180="Mittellos und stationär",D185&gt;2,D185&lt;=4),202,IF(AND(L180="Mittellos und stationär",D185&gt;1,D185&lt;=2),208,IF(AND(L180="Mittellos und stationär",D185&gt;0,D185&lt;=1),317,""))))))))))))))))))))),"")))*3+(J179*90)</f>
        <v>#NUM!</v>
      </c>
      <c r="M186" s="507" t="str">
        <f>CONCATENATE(K186, K185)</f>
        <v>+Inflat.-P</v>
      </c>
      <c r="N186" s="206"/>
      <c r="O186" s="207"/>
      <c r="P186" s="206" t="s">
        <v>118</v>
      </c>
      <c r="Q186" s="226"/>
      <c r="R186" s="189"/>
      <c r="S186" s="203"/>
      <c r="T186" s="203"/>
      <c r="U186" s="204"/>
      <c r="V186" s="192"/>
      <c r="W186" s="203"/>
      <c r="X186" s="203"/>
      <c r="Y186" s="204"/>
      <c r="Z186" s="192"/>
      <c r="AA186" s="209" t="s">
        <v>118</v>
      </c>
      <c r="AB186" s="209" t="s">
        <v>117</v>
      </c>
      <c r="AC186" s="204" t="s">
        <v>26</v>
      </c>
      <c r="AD186" s="192"/>
      <c r="AE186" s="203"/>
      <c r="AF186" s="203"/>
      <c r="AG186" s="204"/>
      <c r="AH186" s="193"/>
      <c r="AI186" s="203"/>
      <c r="AJ186" s="203"/>
      <c r="AK186" s="375"/>
      <c r="AL186" s="348" t="s">
        <v>150</v>
      </c>
      <c r="AM186" s="354"/>
      <c r="AN186" s="354"/>
      <c r="AO186" s="354">
        <f>IF(SUM(P180:P188)=SUM(AA180:AA188), 0, SUM(P180:P188)-SUM(AA180:AA188))</f>
        <v>0</v>
      </c>
      <c r="AP186" s="354"/>
      <c r="AQ186" s="350">
        <f>AM186+AN186+AO186+AP186</f>
        <v>0</v>
      </c>
      <c r="AR186" s="769"/>
      <c r="AS186" s="769"/>
      <c r="AT186" s="769"/>
      <c r="AW186"/>
      <c r="AX186"/>
      <c r="AY186" s="280"/>
      <c r="AZ186"/>
      <c r="BA186"/>
      <c r="BB186"/>
      <c r="BC186"/>
      <c r="BD186"/>
      <c r="BE186"/>
      <c r="BF186"/>
      <c r="BG186" s="280"/>
      <c r="BH186"/>
      <c r="BI186"/>
      <c r="BJ186"/>
      <c r="BK186"/>
      <c r="BL186"/>
      <c r="BM186"/>
      <c r="BN186"/>
      <c r="BO186"/>
    </row>
    <row r="187" spans="1:87" ht="22.25" customHeight="1">
      <c r="A187" s="181">
        <f t="shared" si="58"/>
        <v>45292</v>
      </c>
      <c r="B187" s="486"/>
      <c r="C187" s="489" t="s">
        <v>158</v>
      </c>
      <c r="D187" s="522" t="e">
        <f>D185+1</f>
        <v>#NUM!</v>
      </c>
      <c r="E187" s="211" t="e">
        <f>DATE(YEAR(E186),MONTH(E186),DAY(E186)+1)</f>
        <v>#NUM!</v>
      </c>
      <c r="F187" s="227" t="e">
        <f t="shared" si="72"/>
        <v>#NUM!</v>
      </c>
      <c r="G187" s="228" t="e">
        <f t="shared" si="73"/>
        <v>#NUM!</v>
      </c>
      <c r="H187" s="227" t="e">
        <f t="shared" si="74"/>
        <v>#NUM!</v>
      </c>
      <c r="I187" s="231">
        <f>IF(J186&lt;13,J186,"")</f>
        <v>3</v>
      </c>
      <c r="J187" s="230">
        <f>J188+3</f>
        <v>9</v>
      </c>
      <c r="K187" s="501" t="str">
        <f t="shared" si="62"/>
        <v/>
      </c>
      <c r="L187" s="471"/>
      <c r="M187" s="473" t="e">
        <f ca="1">SUM(J180-E188)&amp;" Tage"</f>
        <v>#NUM!</v>
      </c>
      <c r="N187" s="216"/>
      <c r="O187" s="188"/>
      <c r="P187" s="188"/>
      <c r="Q187" s="217"/>
      <c r="R187" s="189"/>
      <c r="S187" s="190"/>
      <c r="T187" s="190"/>
      <c r="U187" s="191"/>
      <c r="V187" s="192"/>
      <c r="W187" s="190"/>
      <c r="X187" s="190"/>
      <c r="Y187" s="191"/>
      <c r="Z187" s="192"/>
      <c r="AA187" s="190"/>
      <c r="AB187" s="190"/>
      <c r="AC187" s="191"/>
      <c r="AD187" s="192"/>
      <c r="AE187" s="190"/>
      <c r="AF187" s="190"/>
      <c r="AG187" s="191"/>
      <c r="AH187" s="193"/>
      <c r="AI187" s="190"/>
      <c r="AJ187" s="190"/>
      <c r="AK187" s="374"/>
      <c r="AL187" s="348"/>
      <c r="AM187" s="354"/>
      <c r="AN187" s="354"/>
      <c r="AO187" s="354"/>
      <c r="AP187" s="354"/>
      <c r="AQ187" s="350"/>
      <c r="AR187" s="769"/>
      <c r="AS187" s="769"/>
      <c r="AT187" s="769"/>
      <c r="AW187"/>
      <c r="AX187"/>
      <c r="AY187" s="280"/>
      <c r="AZ187"/>
      <c r="BA187"/>
      <c r="BB187"/>
      <c r="BC187"/>
      <c r="BD187"/>
      <c r="BE187"/>
      <c r="BF187"/>
      <c r="BG187" s="280"/>
      <c r="BH187"/>
      <c r="BI187"/>
      <c r="BJ187"/>
      <c r="BK187"/>
      <c r="BL187"/>
      <c r="BM187"/>
      <c r="BN187"/>
      <c r="BO187"/>
    </row>
    <row r="188" spans="1:87" ht="22.25" customHeight="1">
      <c r="A188" s="181">
        <f t="shared" si="58"/>
        <v>45292</v>
      </c>
      <c r="B188" s="485"/>
      <c r="C188" s="490"/>
      <c r="D188" s="521"/>
      <c r="E188" s="218" t="e">
        <f>DATE(YEAR(E187),MONTH(E187)+3,DAY(E187)-1)</f>
        <v>#NUM!</v>
      </c>
      <c r="F188" s="227" t="e">
        <f t="shared" si="72"/>
        <v>#NUM!</v>
      </c>
      <c r="G188" s="228" t="e">
        <f t="shared" si="73"/>
        <v>#NUM!</v>
      </c>
      <c r="H188" s="227" t="e">
        <f t="shared" si="74"/>
        <v>#NUM!</v>
      </c>
      <c r="I188" s="231">
        <f>IF(J185&lt;13,J185,"")</f>
        <v>0</v>
      </c>
      <c r="J188" s="230">
        <f>J186+3</f>
        <v>6</v>
      </c>
      <c r="K188" s="506" t="str">
        <f t="shared" si="62"/>
        <v>+Inflat.-P</v>
      </c>
      <c r="L188" s="508" t="e">
        <f>IF(M179="Stufe A",IF(AND(L180="Auswahl treffen",D187&gt;=0,D187&lt;=1000),J179,IF(AND(L180="Vermögend und ambulant",D187&gt;8,D187&lt;=1000),130,IF(AND(L180="Vermögend und ambulant",D187&gt;4,D187&lt;=8),158,IF(AND(L180="Vermögend und ambulant",D187&gt;2,D187&lt;=4),192,IF(AND(L180="Vermögend und ambulant",D187&gt;1,D187&lt;=2),208,IF(AND(L180="Vermögend und ambulant",D187&gt;0,D187&lt;=1),298,IF(AND(L180="Vermögend und stationär",D187&gt;8,D187&lt;=1000),78,IF(AND(L180="Vermögend und stationär",D187&gt;4,D187&lt;=8),91,IF(AND(L180="Vermögend und stationär",D187&gt;2,D187&lt;=4),140,IF(AND(L180="Vermögend und stationär",D187&gt;1,D187&lt;=2),158,IF(AND(L180="Vermögend und stationär",D187&gt;0,D187&lt;=1),200,IF(AND(L180="Mittellos und ambulant",D187&gt;8,D187&lt;=1000),105,IF(AND(L180="Mittellos und ambulant",D187&gt;4,D187&lt;=8),122,IF(AND(L180="Mittellos und ambulant",D187&gt;2,D187&lt;=4),151,IF(AND(L180="Mittellos und ambulant",D187&gt;1,D187&lt;=2),170,IF(AND(L180="Mittellos und ambulant",D187&gt;0,D187&lt;=1),208,IF(AND(L180="Mittellos und stationär",D187&gt;8,D187&lt;=1000),62,IF(AND(L180="Mittellos und stationär",D187&gt;4,D187&lt;=8),87,IF(AND(L180="Mittellos und stationär",D187&gt;2,D187&lt;=4),124,IF(AND(L180="Mittellos und stationär",D187&gt;1,D187&lt;=2),129,IF(AND(L180="Mittellos und stationär",D187&gt;0,D187&lt;=1),194,""))))))))))))))))))))),IF(M179="Stufe B",IF(AND(L180="Auswahl treffen",D187&gt;=0,D187&lt;=1000),J179,IF(AND(L180="Vermögend und ambulant",D187&gt;8,D187&lt;=1000),161,IF(AND(L180="Vermögend und ambulant",D187&gt;4,D187&lt;=8),196,IF(AND(L180="Vermögend und ambulant",D187&gt;2,D187&lt;=4),238,IF(AND(L180="Vermögend und ambulant",D187&gt;1,D187&lt;=2),258,IF(AND(L180="Vermögend und ambulant",D187&gt;0,D187&lt;=1),370,IF(AND(L180="Vermögend und stationär",D187&gt;8,D187&lt;=1000),96,IF(AND(L180="Vermögend und stationär",D187&gt;4,D187&lt;=8),113,IF(AND(L180="Vermögend und stationär",D187&gt;2,D187&lt;=4),174,IF(AND(L180="Vermögend und stationär",D187&gt;1,D187&lt;=2),196,IF(AND(L180="Vermögend und stationär",D187&gt;0,D187&lt;=1),249,IF(AND(L180="Mittellos und ambulant",D187&gt;8,D187&lt;=1000),130,IF(AND(L180="Mittellos und ambulant",D187&gt;4,D187&lt;=8),151,IF(AND(L180="Mittellos und ambulant",D187&gt;2,D187&lt;=4),188,IF(AND(L180="Mittellos und ambulant",D187&gt;1,D187&lt;=2),211,IF(AND(L180="Mittellos und ambulant",D187&gt;0,D187&lt;=1),258,IF(AND(L180="Mittellos und stationär",D187&gt;8,D187&lt;=1000),78,IF(AND(L180="Mittellos und stationär",D187&gt;4,D187&lt;=8),107,IF(AND(L180="Mittellos und stationär",D187&gt;2,D187&lt;=4),154,IF(AND(L180="Mittellos und stationär",D187&gt;1,D187&lt;=2),158,IF(AND(L180="Mittellos und stationär",D187&gt;0,D187&lt;=1),241,""))))))))))))))))))))),IF(M179="Stufe C",IF(AND(L180="Auswahl treffen",D187&gt;=0,D187&lt;=1000),J179,IF(AND(L180="Vermögend und ambulant",D187&gt;8,D187&lt;=1000),211,IF(AND(L180="Vermögend und ambulant",D187&gt;4,D187&lt;=8),257,IF(AND(L180="Vermögend und ambulant",D187&gt;2,D187&lt;=4),312,IF(AND(L180="Vermögend und ambulant",D187&gt;1,D187&lt;=2),339,IF(AND(L180="Vermögend und ambulant",D187&gt;0,D187&lt;=1),486,IF(AND(L180="Vermögend und stationär",D187&gt;8,D187&lt;=1000),127,IF(AND(L180="Vermögend und stationär",D187&gt;4,D187&lt;=8),149,IF(AND(L180="Vermögend und stationär",D187&gt;2,D187&lt;=4),229,IF(AND(L180="Vermögend und stationär",D187&gt;1,D187&lt;=2),257,IF(AND(L180="Vermögend und stationär",D187&gt;0,D187&lt;=1),327,IF(AND(L180="Mittellos und ambulant",D187&gt;8,D187&lt;=1000),171,IF(AND(L180="Mittellos und ambulant",D187&gt;4,D187&lt;=8),198,IF(AND(L180="Mittellos und ambulant",D187&gt;2,D187&lt;=4),246,IF(AND(L180="Mittellos und ambulant",D187&gt;1,D187&lt;=2),277,IF(AND(L180="Mittellos und ambulant",D187&gt;0,D187&lt;=1),339,IF(AND(L180="Mittellos und stationär",D187&gt;8,D187&lt;=1000),102,IF(AND(L180="Mittellos und stationär",D187&gt;4,D187&lt;=8),141,IF(AND(L180="Mittellos und stationär",D187&gt;2,D187&lt;=4),202,IF(AND(L180="Mittellos und stationär",D187&gt;1,D187&lt;=2),208,IF(AND(L180="Mittellos und stationär",D187&gt;0,D187&lt;=1),317,""))))))))))))))))))))),"")))*3+(J179*90)</f>
        <v>#NUM!</v>
      </c>
      <c r="M188" s="507" t="str">
        <f>CONCATENATE(K188, K187)</f>
        <v>+Inflat.-P</v>
      </c>
      <c r="N188" s="216"/>
      <c r="O188" s="188"/>
      <c r="P188" s="188"/>
      <c r="Q188" s="217" t="s">
        <v>118</v>
      </c>
      <c r="R188" s="189"/>
      <c r="S188" s="190"/>
      <c r="T188" s="190"/>
      <c r="U188" s="191"/>
      <c r="V188" s="192"/>
      <c r="W188" s="190"/>
      <c r="X188" s="190"/>
      <c r="Y188" s="191"/>
      <c r="Z188" s="192"/>
      <c r="AA188" s="190"/>
      <c r="AB188" s="190"/>
      <c r="AC188" s="191"/>
      <c r="AD188" s="192"/>
      <c r="AE188" s="190" t="s">
        <v>118</v>
      </c>
      <c r="AF188" s="190" t="s">
        <v>117</v>
      </c>
      <c r="AG188" s="191" t="s">
        <v>26</v>
      </c>
      <c r="AH188" s="193"/>
      <c r="AI188" s="190" t="s">
        <v>118</v>
      </c>
      <c r="AJ188" s="190" t="s">
        <v>117</v>
      </c>
      <c r="AK188" s="374" t="s">
        <v>26</v>
      </c>
      <c r="AL188" s="348" t="s">
        <v>151</v>
      </c>
      <c r="AM188" s="354"/>
      <c r="AN188" s="354"/>
      <c r="AO188" s="354"/>
      <c r="AP188" s="354">
        <f>IF(SUM(Q180:Q188)=SUM(AE180:AE188,AI180:AI188), 0, SUM(Q180:Q188)-SUM(AE180:AE188,AI180:AI188))</f>
        <v>0</v>
      </c>
      <c r="AQ188" s="350">
        <f>AM188+AN188+AO188+AP188</f>
        <v>0</v>
      </c>
      <c r="AR188" s="769"/>
      <c r="AS188" s="769"/>
      <c r="AT188" s="769"/>
      <c r="AW188"/>
      <c r="AX188"/>
      <c r="AY188" s="280"/>
      <c r="AZ188"/>
      <c r="BA188"/>
      <c r="BB188"/>
      <c r="BC188"/>
      <c r="BD188"/>
      <c r="BE188"/>
      <c r="BF188"/>
      <c r="BG188" s="280"/>
      <c r="BH188"/>
      <c r="BI188"/>
      <c r="BJ188"/>
      <c r="BK188"/>
      <c r="BL188"/>
      <c r="BM188"/>
      <c r="BN188"/>
      <c r="BO188"/>
    </row>
    <row r="189" spans="1:87" ht="22" customHeight="1">
      <c r="A189" s="181">
        <f t="shared" si="58"/>
        <v>45292</v>
      </c>
      <c r="B189" s="232" t="s">
        <v>74</v>
      </c>
      <c r="C189" s="233" t="s">
        <v>75</v>
      </c>
      <c r="D189" s="234" t="s">
        <v>76</v>
      </c>
      <c r="E189" s="235" t="s">
        <v>11</v>
      </c>
      <c r="F189" s="235" t="s">
        <v>4</v>
      </c>
      <c r="G189" s="235" t="s">
        <v>5</v>
      </c>
      <c r="H189" s="235" t="s">
        <v>6</v>
      </c>
      <c r="I189" s="236" t="s">
        <v>77</v>
      </c>
      <c r="J189" s="306"/>
      <c r="K189" s="501" t="str">
        <f t="shared" si="62"/>
        <v/>
      </c>
      <c r="L189" s="306" t="str">
        <f>IFERROR(VLOOKUP(B190,'Aktuelle Einnahmen'!A2:J104,10,0),"")</f>
        <v/>
      </c>
      <c r="M189" s="510" t="str">
        <f>M179</f>
        <v>Stufe C</v>
      </c>
      <c r="N189" s="237"/>
      <c r="O189" s="238"/>
      <c r="P189" s="238"/>
      <c r="Q189" s="239"/>
      <c r="R189" s="240"/>
      <c r="S189" s="241"/>
      <c r="T189" s="241"/>
      <c r="U189" s="242"/>
      <c r="V189" s="243"/>
      <c r="W189" s="241"/>
      <c r="X189" s="241"/>
      <c r="Y189" s="242"/>
      <c r="Z189" s="243"/>
      <c r="AA189" s="241"/>
      <c r="AB189" s="241"/>
      <c r="AC189" s="242"/>
      <c r="AD189" s="243"/>
      <c r="AE189" s="241"/>
      <c r="AF189" s="241"/>
      <c r="AG189" s="242"/>
      <c r="AH189" s="240"/>
      <c r="AI189" s="241"/>
      <c r="AJ189" s="241"/>
      <c r="AK189" s="377"/>
      <c r="AL189" s="347"/>
      <c r="AM189" s="353"/>
      <c r="AN189" s="353"/>
      <c r="AO189" s="353"/>
      <c r="AP189" s="353"/>
      <c r="AQ189" s="349"/>
      <c r="AR189" s="768"/>
      <c r="AS189" s="768"/>
      <c r="AT189" s="768"/>
      <c r="AW189"/>
      <c r="AX189"/>
      <c r="AY189" s="280"/>
      <c r="AZ189"/>
      <c r="BA189"/>
      <c r="BB189"/>
      <c r="BC189"/>
      <c r="BD189"/>
      <c r="BE189"/>
      <c r="BF189"/>
      <c r="BG189" s="280"/>
      <c r="BH189"/>
      <c r="BI189"/>
      <c r="BJ189"/>
      <c r="BK189"/>
      <c r="BL189"/>
      <c r="BM189"/>
      <c r="BN189"/>
      <c r="BO189"/>
    </row>
    <row r="190" spans="1:87" ht="23" customHeight="1">
      <c r="A190" s="181">
        <f t="shared" si="58"/>
        <v>45292</v>
      </c>
      <c r="B190" s="182">
        <v>19</v>
      </c>
      <c r="C190" s="245">
        <f>IFERROR(VLOOKUP($B190,'Aktuelle Einnahmen'!A2:G104,3,0),"")</f>
        <v>0</v>
      </c>
      <c r="D190" s="246">
        <f>IFERROR(VLOOKUP($B190,'Aktuelle Einnahmen'!A2:G104,2,0),"")</f>
        <v>0</v>
      </c>
      <c r="E190" s="247">
        <f>IFERROR(VLOOKUP($B190,'Aktuelle Einnahmen'!A2:G104,4,0),"")</f>
        <v>0</v>
      </c>
      <c r="F190" s="94">
        <f>IFERROR(VLOOKUP($B190,'Aktuelle Einnahmen'!A2:G104,5,0),"")</f>
        <v>0</v>
      </c>
      <c r="G190" s="94">
        <f>IFERROR(VLOOKUP($B190,'Aktuelle Einnahmen'!A2:G104,6,0),"")</f>
        <v>0</v>
      </c>
      <c r="H190" s="94">
        <f>IFERROR(VLOOKUP($B190,'Aktuelle Einnahmen'!A2:G104,7,0),"")</f>
        <v>0</v>
      </c>
      <c r="I190" s="186" t="e">
        <f>DATE(H190,G190,F190)</f>
        <v>#NUM!</v>
      </c>
      <c r="J190" s="472">
        <f ca="1">J180</f>
        <v>45475</v>
      </c>
      <c r="K190" s="506" t="str">
        <f t="shared" si="62"/>
        <v>+Inflat.-P</v>
      </c>
      <c r="L190" s="1262" t="str">
        <f>IFERROR(VLOOKUP(B190,'Aktuelle Einnahmen'!A12:I114,9,0),"")</f>
        <v>Auswahl treffen</v>
      </c>
      <c r="M190" s="1263"/>
      <c r="N190" s="261"/>
      <c r="O190" s="261"/>
      <c r="P190" s="261"/>
      <c r="Q190" s="261"/>
      <c r="R190" s="189"/>
      <c r="S190" s="190"/>
      <c r="T190" s="190"/>
      <c r="U190" s="191"/>
      <c r="V190" s="192"/>
      <c r="W190" s="190"/>
      <c r="X190" s="190"/>
      <c r="Y190" s="191"/>
      <c r="Z190" s="192"/>
      <c r="AA190" s="190"/>
      <c r="AB190" s="190"/>
      <c r="AC190" s="191"/>
      <c r="AD190" s="192"/>
      <c r="AE190" s="190"/>
      <c r="AF190" s="190"/>
      <c r="AG190" s="191"/>
      <c r="AH190" s="193"/>
      <c r="AI190" s="190"/>
      <c r="AJ190" s="190"/>
      <c r="AK190" s="374"/>
      <c r="AL190" s="348"/>
      <c r="AM190" s="354"/>
      <c r="AN190" s="354"/>
      <c r="AO190" s="354"/>
      <c r="AP190" s="354"/>
      <c r="AQ190" s="350"/>
      <c r="AR190" s="769"/>
      <c r="AS190" s="769"/>
      <c r="AT190" s="769"/>
      <c r="AW190"/>
      <c r="AX190"/>
      <c r="AY190" s="280"/>
      <c r="AZ190"/>
      <c r="BA190"/>
      <c r="BB190"/>
      <c r="BC190"/>
      <c r="BD190"/>
      <c r="BE190"/>
      <c r="BF190"/>
      <c r="BG190" s="280"/>
      <c r="BH190"/>
      <c r="BI190"/>
      <c r="BJ190"/>
      <c r="BK190"/>
      <c r="BL190"/>
      <c r="BM190"/>
      <c r="BN190"/>
      <c r="BO190"/>
    </row>
    <row r="191" spans="1:87" ht="22.25" customHeight="1">
      <c r="A191" s="181">
        <f t="shared" si="58"/>
        <v>45292</v>
      </c>
      <c r="B191" s="484" t="e">
        <f>DAY(I190)</f>
        <v>#NUM!</v>
      </c>
      <c r="C191" s="489" t="s">
        <v>158</v>
      </c>
      <c r="D191" s="520" t="e">
        <f>(I191*4)+J191/3+1</f>
        <v>#NUM!</v>
      </c>
      <c r="E191" s="194" t="e">
        <f>J193+1</f>
        <v>#NUM!</v>
      </c>
      <c r="F191" s="195" t="e">
        <f t="shared" ref="F191:F198" si="75">DAY(E191)</f>
        <v>#NUM!</v>
      </c>
      <c r="G191" s="196" t="e">
        <f t="shared" ref="G191:G198" si="76">MONTH(E191)</f>
        <v>#NUM!</v>
      </c>
      <c r="H191" s="195" t="e">
        <f t="shared" ref="H191:H198" si="77">YEAR(E191)</f>
        <v>#NUM!</v>
      </c>
      <c r="I191" s="197" t="e">
        <f>H191-(H190+2000)</f>
        <v>#NUM!</v>
      </c>
      <c r="J191" s="198" t="e">
        <f>G191-G190</f>
        <v>#NUM!</v>
      </c>
      <c r="K191" s="506" t="str">
        <f>L189</f>
        <v/>
      </c>
      <c r="L191" s="469"/>
      <c r="M191" s="473" t="e">
        <f ca="1">SUM(J190-E192)&amp;" Tage"</f>
        <v>#NUM!</v>
      </c>
      <c r="N191" s="206"/>
      <c r="O191" s="201"/>
      <c r="P191" s="201"/>
      <c r="Q191" s="202"/>
      <c r="R191" s="189"/>
      <c r="S191" s="203"/>
      <c r="T191" s="203"/>
      <c r="U191" s="204"/>
      <c r="V191" s="192"/>
      <c r="W191" s="203"/>
      <c r="X191" s="203"/>
      <c r="Y191" s="204"/>
      <c r="Z191" s="192"/>
      <c r="AA191" s="203"/>
      <c r="AB191" s="203"/>
      <c r="AC191" s="204"/>
      <c r="AD191" s="192"/>
      <c r="AE191" s="203"/>
      <c r="AF191" s="203"/>
      <c r="AG191" s="204"/>
      <c r="AH191" s="193"/>
      <c r="AI191" s="203"/>
      <c r="AJ191" s="203"/>
      <c r="AK191" s="375"/>
      <c r="AL191" s="348"/>
      <c r="AM191" s="354"/>
      <c r="AN191" s="354"/>
      <c r="AO191" s="354"/>
      <c r="AP191" s="354"/>
      <c r="AQ191" s="350"/>
      <c r="AR191" s="769"/>
      <c r="AS191" s="769"/>
      <c r="AT191" s="769"/>
      <c r="AW191"/>
      <c r="AX191"/>
      <c r="AY191" s="280"/>
      <c r="AZ191"/>
      <c r="BA191"/>
      <c r="BB191"/>
      <c r="BC191"/>
      <c r="BD191"/>
      <c r="BE191"/>
      <c r="BF191"/>
      <c r="BG191" s="280"/>
      <c r="BH191"/>
      <c r="BI191"/>
      <c r="BJ191"/>
      <c r="BK191"/>
      <c r="BL191"/>
      <c r="BM191"/>
      <c r="BN191"/>
      <c r="BO191"/>
    </row>
    <row r="192" spans="1:87" ht="22.25" customHeight="1">
      <c r="A192" s="181">
        <f t="shared" si="58"/>
        <v>45292</v>
      </c>
      <c r="B192" s="485"/>
      <c r="C192" s="490"/>
      <c r="D192" s="521"/>
      <c r="E192" s="194" t="e">
        <f>DATE(YEAR(E191),MONTH(E191)+3,DAY(E191)-1)</f>
        <v>#NUM!</v>
      </c>
      <c r="F192" s="195" t="e">
        <f t="shared" si="75"/>
        <v>#NUM!</v>
      </c>
      <c r="G192" s="196" t="e">
        <f t="shared" si="76"/>
        <v>#NUM!</v>
      </c>
      <c r="H192" s="195" t="e">
        <f t="shared" si="77"/>
        <v>#NUM!</v>
      </c>
      <c r="I192" s="244">
        <v>-1</v>
      </c>
      <c r="J192" s="198" t="e">
        <f>F191-F190</f>
        <v>#NUM!</v>
      </c>
      <c r="K192" s="506" t="str">
        <f t="shared" si="62"/>
        <v>+Inflat.-P</v>
      </c>
      <c r="L192" s="511" t="e">
        <f>IF(M189="Stufe A",IF(AND(L190="Auswahl treffen",D191&gt;=0,D191&lt;=1000),J189,IF(AND(L190="Vermögend und ambulant",D191&gt;8,D191&lt;=1000),130,IF(AND(L190="Vermögend und ambulant",D191&gt;4,D191&lt;=8),158,IF(AND(L190="Vermögend und ambulant",D191&gt;2,D191&lt;=4),192,IF(AND(L190="Vermögend und ambulant",D191&gt;1,D191&lt;=2),208,IF(AND(L190="Vermögend und ambulant",D191&gt;0,D191&lt;=1),298,IF(AND(L190="Vermögend und stationär",D191&gt;8,D191&lt;=1000),78,IF(AND(L190="Vermögend und stationär",D191&gt;4,D191&lt;=8),91,IF(AND(L190="Vermögend und stationär",D191&gt;2,D191&lt;=4),140,IF(AND(L190="Vermögend und stationär",D191&gt;1,D191&lt;=2),158,IF(AND(L190="Vermögend und stationär",D191&gt;0,D191&lt;=1),200,IF(AND(L190="Mittellos und ambulant",D191&gt;8,D191&lt;=1000),105,IF(AND(L190="Mittellos und ambulant",D191&gt;4,D191&lt;=8),122,IF(AND(L190="Mittellos und ambulant",D191&gt;2,D191&lt;=4),151,IF(AND(L190="Mittellos und ambulant",D191&gt;1,D191&lt;=2),170,IF(AND(L190="Mittellos und ambulant",D191&gt;0,D191&lt;=1),208,IF(AND(L190="Mittellos und stationär",D191&gt;8,D191&lt;=1000),62,IF(AND(L190="Mittellos und stationär",D191&gt;4,D191&lt;=8),87,IF(AND(L190="Mittellos und stationär",D191&gt;2,D191&lt;=4),124,IF(AND(L190="Mittellos und stationär",D191&gt;1,D191&lt;=2),129,IF(AND(L190="Mittellos und stationär",D191&gt;0,D191&lt;=1),194,""))))))))))))))))))))),IF(M189="Stufe B",IF(AND(L190="Auswahl treffen",D191&gt;=0,D191&lt;=1000),J189,IF(AND(L190="Vermögend und ambulant",D191&gt;8,D191&lt;=1000),161,IF(AND(L190="Vermögend und ambulant",D191&gt;4,D191&lt;=8),196,IF(AND(L190="Vermögend und ambulant",D191&gt;2,D191&lt;=4),238,IF(AND(L190="Vermögend und ambulant",D191&gt;1,D191&lt;=2),258,IF(AND(L190="Vermögend und ambulant",D191&gt;0,D191&lt;=1),370,IF(AND(L190="Vermögend und stationär",D191&gt;8,D191&lt;=1000),96,IF(AND(L190="Vermögend und stationär",D191&gt;4,D191&lt;=8),113,IF(AND(L190="Vermögend und stationär",D191&gt;2,D191&lt;=4),174,IF(AND(L190="Vermögend und stationär",D191&gt;1,D191&lt;=2),196,IF(AND(L190="Vermögend und stationär",D191&gt;0,D191&lt;=1),249,IF(AND(L190="Mittellos und ambulant",D191&gt;8,D191&lt;=1000),130,IF(AND(L190="Mittellos und ambulant",D191&gt;4,D191&lt;=8),151,IF(AND(L190="Mittellos und ambulant",D191&gt;2,D191&lt;=4),188,IF(AND(L190="Mittellos und ambulant",D191&gt;1,D191&lt;=2),211,IF(AND(L190="Mittellos und ambulant",D191&gt;0,D191&lt;=1),258,IF(AND(L190="Mittellos und stationär",D191&gt;8,D191&lt;=1000),78,IF(AND(L190="Mittellos und stationär",D191&gt;4,D191&lt;=8),107,IF(AND(L190="Mittellos und stationär",D191&gt;2,D191&lt;=4),154,IF(AND(L190="Mittellos und stationär",D191&gt;1,D191&lt;=2),158,IF(AND(L190="Mittellos und stationär",D191&gt;0,D191&lt;=1),241,""))))))))))))))))))))),IF(M189="Stufe C",IF(AND(L190="Auswahl treffen",D191&gt;=0,D191&lt;=1000),J189,IF(AND(L190="Vermögend und ambulant",D191&gt;8,D191&lt;=1000),211,IF(AND(L190="Vermögend und ambulant",D191&gt;4,D191&lt;=8),257,IF(AND(L190="Vermögend und ambulant",D191&gt;2,D191&lt;=4),312,IF(AND(L190="Vermögend und ambulant",D191&gt;1,D191&lt;=2),339,IF(AND(L190="Vermögend und ambulant",D191&gt;0,D191&lt;=1),486,IF(AND(L190="Vermögend und stationär",D191&gt;8,D191&lt;=1000),127,IF(AND(L190="Vermögend und stationär",D191&gt;4,D191&lt;=8),149,IF(AND(L190="Vermögend und stationär",D191&gt;2,D191&lt;=4),229,IF(AND(L190="Vermögend und stationär",D191&gt;1,D191&lt;=2),257,IF(AND(L190="Vermögend und stationär",D191&gt;0,D191&lt;=1),327,IF(AND(L190="Mittellos und ambulant",D191&gt;8,D191&lt;=1000),171,IF(AND(L190="Mittellos und ambulant",D191&gt;4,D191&lt;=8),198,IF(AND(L190="Mittellos und ambulant",D191&gt;2,D191&lt;=4),246,IF(AND(L190="Mittellos und ambulant",D191&gt;1,D191&lt;=2),277,IF(AND(L190="Mittellos und ambulant",D191&gt;0,D191&lt;=1),339,IF(AND(L190="Mittellos und stationär",D191&gt;8,D191&lt;=1000),102,IF(AND(L190="Mittellos und stationär",D191&gt;4,D191&lt;=8),141,IF(AND(L190="Mittellos und stationär",D191&gt;2,D191&lt;=4),202,IF(AND(L190="Mittellos und stationär",D191&gt;1,D191&lt;=2),208,IF(AND(L190="Mittellos und stationär",D191&gt;0,D191&lt;=1),317,""))))))))))))))))))))),"")))*3+(J189*90)</f>
        <v>#NUM!</v>
      </c>
      <c r="M192" s="507" t="str">
        <f>CONCATENATE(K192, K191)</f>
        <v>+Inflat.-P</v>
      </c>
      <c r="N192" s="206" t="s">
        <v>118</v>
      </c>
      <c r="O192" s="207"/>
      <c r="P192" s="207"/>
      <c r="Q192" s="208"/>
      <c r="R192" s="187"/>
      <c r="S192" s="209" t="s">
        <v>118</v>
      </c>
      <c r="T192" s="201" t="s">
        <v>117</v>
      </c>
      <c r="U192" s="210" t="s">
        <v>26</v>
      </c>
      <c r="V192" s="192"/>
      <c r="W192" s="203"/>
      <c r="X192" s="203"/>
      <c r="Y192" s="210"/>
      <c r="Z192" s="192"/>
      <c r="AA192" s="203"/>
      <c r="AB192" s="203"/>
      <c r="AC192" s="210"/>
      <c r="AD192" s="192"/>
      <c r="AE192" s="203"/>
      <c r="AF192" s="203"/>
      <c r="AG192" s="210"/>
      <c r="AH192" s="193"/>
      <c r="AI192" s="203"/>
      <c r="AJ192" s="203"/>
      <c r="AK192" s="376"/>
      <c r="AL192" s="348" t="s">
        <v>148</v>
      </c>
      <c r="AM192" s="354">
        <f>IF(SUM(N190:N198)=SUM(S190:S198), 0, SUM(N190:N198)-SUM(S190:S198))</f>
        <v>0</v>
      </c>
      <c r="AN192" s="354"/>
      <c r="AO192" s="354"/>
      <c r="AP192" s="354"/>
      <c r="AQ192" s="350">
        <f>AM192+AN192+AO192+AP192</f>
        <v>0</v>
      </c>
      <c r="AR192" s="769"/>
      <c r="AS192" s="769"/>
      <c r="AT192" s="769"/>
      <c r="AW192"/>
      <c r="AX192"/>
      <c r="AY192" s="280"/>
      <c r="AZ192"/>
      <c r="BA192"/>
      <c r="BB192"/>
      <c r="BC192"/>
      <c r="BD192"/>
      <c r="BE192"/>
      <c r="BF192"/>
      <c r="BG192" s="280"/>
      <c r="BH192"/>
      <c r="BI192"/>
      <c r="BJ192"/>
      <c r="BK192"/>
      <c r="BL192"/>
      <c r="BM192"/>
      <c r="BN192"/>
      <c r="BO192"/>
    </row>
    <row r="193" spans="1:67" ht="22.25" customHeight="1">
      <c r="A193" s="181">
        <f t="shared" si="58"/>
        <v>45292</v>
      </c>
      <c r="B193" s="484" t="e">
        <f>MONTH(I190)</f>
        <v>#NUM!</v>
      </c>
      <c r="C193" s="489" t="s">
        <v>158</v>
      </c>
      <c r="D193" s="522" t="e">
        <f>D191+1</f>
        <v>#NUM!</v>
      </c>
      <c r="E193" s="211" t="e">
        <f>DATE(YEAR(E192),MONTH(E192),DAY(E192)+1)</f>
        <v>#NUM!</v>
      </c>
      <c r="F193" s="212" t="e">
        <f t="shared" si="75"/>
        <v>#NUM!</v>
      </c>
      <c r="G193" s="213" t="e">
        <f t="shared" si="76"/>
        <v>#NUM!</v>
      </c>
      <c r="H193" s="212" t="e">
        <f t="shared" si="77"/>
        <v>#NUM!</v>
      </c>
      <c r="I193" s="214" t="str">
        <f>IF(D190&lt;&gt;0,"-1T","")</f>
        <v/>
      </c>
      <c r="J193" s="215" t="e">
        <f>DATE($B195,I194,$B191)</f>
        <v>#NUM!</v>
      </c>
      <c r="K193" s="501" t="str">
        <f t="shared" si="62"/>
        <v/>
      </c>
      <c r="L193" s="470"/>
      <c r="M193" s="473" t="e">
        <f ca="1">SUM(J190-E194)&amp;" Tage"</f>
        <v>#NUM!</v>
      </c>
      <c r="N193" s="216"/>
      <c r="O193" s="217"/>
      <c r="P193" s="188"/>
      <c r="Q193" s="217"/>
      <c r="R193" s="189"/>
      <c r="S193" s="190"/>
      <c r="T193" s="190"/>
      <c r="U193" s="191"/>
      <c r="V193" s="192"/>
      <c r="W193" s="190"/>
      <c r="X193" s="190"/>
      <c r="Y193" s="191"/>
      <c r="Z193" s="192"/>
      <c r="AA193" s="190"/>
      <c r="AB193" s="190"/>
      <c r="AC193" s="191"/>
      <c r="AD193" s="192"/>
      <c r="AE193" s="190"/>
      <c r="AF193" s="190"/>
      <c r="AG193" s="191"/>
      <c r="AH193" s="193"/>
      <c r="AI193" s="190"/>
      <c r="AJ193" s="190"/>
      <c r="AK193" s="374"/>
      <c r="AL193" s="348"/>
      <c r="AM193" s="354"/>
      <c r="AN193" s="354"/>
      <c r="AO193" s="354"/>
      <c r="AP193" s="354"/>
      <c r="AQ193" s="350"/>
      <c r="AR193" s="769"/>
      <c r="AS193" s="769"/>
      <c r="AT193" s="769"/>
      <c r="AW193"/>
      <c r="AX193"/>
      <c r="AY193" s="280"/>
      <c r="AZ193"/>
      <c r="BA193"/>
      <c r="BB193"/>
      <c r="BC193"/>
      <c r="BD193"/>
      <c r="BE193"/>
      <c r="BF193"/>
      <c r="BG193" s="280"/>
      <c r="BH193"/>
      <c r="BI193"/>
      <c r="BJ193"/>
      <c r="BK193"/>
      <c r="BL193"/>
      <c r="BM193"/>
      <c r="BN193"/>
      <c r="BO193"/>
    </row>
    <row r="194" spans="1:67" ht="22.25" customHeight="1">
      <c r="A194" s="181">
        <f t="shared" si="58"/>
        <v>45292</v>
      </c>
      <c r="B194" s="485"/>
      <c r="C194" s="490"/>
      <c r="D194" s="521"/>
      <c r="E194" s="218" t="e">
        <f>DATE(YEAR(E193),MONTH(E193)+3,DAY(E193)-1)</f>
        <v>#NUM!</v>
      </c>
      <c r="F194" s="212" t="e">
        <f t="shared" si="75"/>
        <v>#NUM!</v>
      </c>
      <c r="G194" s="213" t="e">
        <f t="shared" si="76"/>
        <v>#NUM!</v>
      </c>
      <c r="H194" s="212" t="e">
        <f t="shared" si="77"/>
        <v>#NUM!</v>
      </c>
      <c r="I194" s="219">
        <f>MAX(I195:I198)</f>
        <v>9</v>
      </c>
      <c r="J194" s="220" t="e">
        <f>DATE(YEAR(J193)+1,MONTH(J193),DAY(J193))</f>
        <v>#NUM!</v>
      </c>
      <c r="K194" s="501" t="str">
        <f t="shared" si="62"/>
        <v>+Inflat.-P</v>
      </c>
      <c r="L194" s="508" t="e">
        <f>IF(M189="Stufe A",IF(AND(L190="Auswahl treffen",D193&gt;=0,D193&lt;=1000),J189,IF(AND(L190="Vermögend und ambulant",D193&gt;8,D193&lt;=1000),130,IF(AND(L190="Vermögend und ambulant",D193&gt;4,D193&lt;=8),158,IF(AND(L190="Vermögend und ambulant",D193&gt;2,D193&lt;=4),192,IF(AND(L190="Vermögend und ambulant",D193&gt;1,D193&lt;=2),208,IF(AND(L190="Vermögend und ambulant",D193&gt;0,D193&lt;=1),298,IF(AND(L190="Vermögend und stationär",D193&gt;8,D193&lt;=1000),78,IF(AND(L190="Vermögend und stationär",D193&gt;4,D193&lt;=8),91,IF(AND(L190="Vermögend und stationär",D193&gt;2,D193&lt;=4),140,IF(AND(L190="Vermögend und stationär",D193&gt;1,D193&lt;=2),158,IF(AND(L190="Vermögend und stationär",D193&gt;0,D193&lt;=1),200,IF(AND(L190="Mittellos und ambulant",D193&gt;8,D193&lt;=1000),105,IF(AND(L190="Mittellos und ambulant",D193&gt;4,D193&lt;=8),122,IF(AND(L190="Mittellos und ambulant",D193&gt;2,D193&lt;=4),151,IF(AND(L190="Mittellos und ambulant",D193&gt;1,D193&lt;=2),170,IF(AND(L190="Mittellos und ambulant",D193&gt;0,D193&lt;=1),208,IF(AND(L190="Mittellos und stationär",D193&gt;8,D193&lt;=1000),62,IF(AND(L190="Mittellos und stationär",D193&gt;4,D193&lt;=8),87,IF(AND(L190="Mittellos und stationär",D193&gt;2,D193&lt;=4),124,IF(AND(L190="Mittellos und stationär",D193&gt;1,D193&lt;=2),129,IF(AND(L190="Mittellos und stationär",D193&gt;0,D193&lt;=1),194,""))))))))))))))))))))),IF(M189="Stufe B",IF(AND(L190="Auswahl treffen",D193&gt;=0,D193&lt;=1000),J189,IF(AND(L190="Vermögend und ambulant",D193&gt;8,D193&lt;=1000),161,IF(AND(L190="Vermögend und ambulant",D193&gt;4,D193&lt;=8),196,IF(AND(L190="Vermögend und ambulant",D193&gt;2,D193&lt;=4),238,IF(AND(L190="Vermögend und ambulant",D193&gt;1,D193&lt;=2),258,IF(AND(L190="Vermögend und ambulant",D193&gt;0,D193&lt;=1),370,IF(AND(L190="Vermögend und stationär",D193&gt;8,D193&lt;=1000),96,IF(AND(L190="Vermögend und stationär",D193&gt;4,D193&lt;=8),113,IF(AND(L190="Vermögend und stationär",D193&gt;2,D193&lt;=4),174,IF(AND(L190="Vermögend und stationär",D193&gt;1,D193&lt;=2),196,IF(AND(L190="Vermögend und stationär",D193&gt;0,D193&lt;=1),249,IF(AND(L190="Mittellos und ambulant",D193&gt;8,D193&lt;=1000),130,IF(AND(L190="Mittellos und ambulant",D193&gt;4,D193&lt;=8),151,IF(AND(L190="Mittellos und ambulant",D193&gt;2,D193&lt;=4),188,IF(AND(L190="Mittellos und ambulant",D193&gt;1,D193&lt;=2),211,IF(AND(L190="Mittellos und ambulant",D193&gt;0,D193&lt;=1),258,IF(AND(L190="Mittellos und stationär",D193&gt;8,D193&lt;=1000),78,IF(AND(L190="Mittellos und stationär",D193&gt;4,D193&lt;=8),107,IF(AND(L190="Mittellos und stationär",D193&gt;2,D193&lt;=4),154,IF(AND(L190="Mittellos und stationär",D193&gt;1,D193&lt;=2),158,IF(AND(L190="Mittellos und stationär",D193&gt;0,D193&lt;=1),241,""))))))))))))))))))))),IF(M189="Stufe C",IF(AND(L190="Auswahl treffen",D193&gt;=0,D193&lt;=1000),J189,IF(AND(L190="Vermögend und ambulant",D193&gt;8,D193&lt;=1000),211,IF(AND(L190="Vermögend und ambulant",D193&gt;4,D193&lt;=8),257,IF(AND(L190="Vermögend und ambulant",D193&gt;2,D193&lt;=4),312,IF(AND(L190="Vermögend und ambulant",D193&gt;1,D193&lt;=2),339,IF(AND(L190="Vermögend und ambulant",D193&gt;0,D193&lt;=1),486,IF(AND(L190="Vermögend und stationär",D193&gt;8,D193&lt;=1000),127,IF(AND(L190="Vermögend und stationär",D193&gt;4,D193&lt;=8),149,IF(AND(L190="Vermögend und stationär",D193&gt;2,D193&lt;=4),229,IF(AND(L190="Vermögend und stationär",D193&gt;1,D193&lt;=2),257,IF(AND(L190="Vermögend und stationär",D193&gt;0,D193&lt;=1),327,IF(AND(L190="Mittellos und ambulant",D193&gt;8,D193&lt;=1000),171,IF(AND(L190="Mittellos und ambulant",D193&gt;4,D193&lt;=8),198,IF(AND(L190="Mittellos und ambulant",D193&gt;2,D193&lt;=4),246,IF(AND(L190="Mittellos und ambulant",D193&gt;1,D193&lt;=2),277,IF(AND(L190="Mittellos und ambulant",D193&gt;0,D193&lt;=1),339,IF(AND(L190="Mittellos und stationär",D193&gt;8,D193&lt;=1000),102,IF(AND(L190="Mittellos und stationär",D193&gt;4,D193&lt;=8),141,IF(AND(L190="Mittellos und stationär",D193&gt;2,D193&lt;=4),202,IF(AND(L190="Mittellos und stationär",D193&gt;1,D193&lt;=2),208,IF(AND(L190="Mittellos und stationär",D193&gt;0,D193&lt;=1),317,""))))))))))))))))))))),"")))*3+(J189*90)</f>
        <v>#NUM!</v>
      </c>
      <c r="M194" s="507" t="str">
        <f>CONCATENATE(K194, K193)</f>
        <v>+Inflat.-P</v>
      </c>
      <c r="N194" s="216"/>
      <c r="O194" s="188" t="s">
        <v>118</v>
      </c>
      <c r="P194" s="188"/>
      <c r="Q194" s="221"/>
      <c r="R194" s="199"/>
      <c r="S194" s="190"/>
      <c r="T194" s="190"/>
      <c r="U194" s="191"/>
      <c r="V194" s="192"/>
      <c r="W194" s="222" t="s">
        <v>118</v>
      </c>
      <c r="X194" s="222" t="s">
        <v>117</v>
      </c>
      <c r="Y194" s="191" t="s">
        <v>26</v>
      </c>
      <c r="Z194" s="192"/>
      <c r="AA194" s="190"/>
      <c r="AB194" s="190"/>
      <c r="AC194" s="191"/>
      <c r="AD194" s="192"/>
      <c r="AE194" s="190"/>
      <c r="AF194" s="190"/>
      <c r="AG194" s="191"/>
      <c r="AH194" s="193"/>
      <c r="AI194" s="190"/>
      <c r="AJ194" s="190"/>
      <c r="AK194" s="374"/>
      <c r="AL194" s="348" t="s">
        <v>149</v>
      </c>
      <c r="AM194" s="354"/>
      <c r="AN194" s="354">
        <f>IF(SUM(O190:O198)=SUM(W190:W198), 0, SUM(O190:O198)-SUM(W190:W198))</f>
        <v>0</v>
      </c>
      <c r="AO194" s="354"/>
      <c r="AP194" s="354"/>
      <c r="AQ194" s="350">
        <f>AM194+AN194+AO194+AP194</f>
        <v>0</v>
      </c>
      <c r="AR194" s="769"/>
      <c r="AS194" s="769"/>
      <c r="AT194" s="769"/>
      <c r="AW194"/>
      <c r="AX194"/>
      <c r="AY194" s="280"/>
      <c r="AZ194"/>
      <c r="BA194"/>
      <c r="BB194"/>
      <c r="BC194"/>
      <c r="BD194"/>
      <c r="BE194"/>
      <c r="BF194"/>
      <c r="BG194" s="280"/>
      <c r="BH194"/>
      <c r="BI194"/>
      <c r="BJ194"/>
      <c r="BK194"/>
      <c r="BL194"/>
      <c r="BM194"/>
      <c r="BN194"/>
      <c r="BO194"/>
    </row>
    <row r="195" spans="1:67" ht="22.25" customHeight="1">
      <c r="A195" s="181">
        <f t="shared" si="58"/>
        <v>45292</v>
      </c>
      <c r="B195" s="484">
        <f>YEAR($A196)-1</f>
        <v>2023</v>
      </c>
      <c r="C195" s="489" t="s">
        <v>158</v>
      </c>
      <c r="D195" s="520" t="e">
        <f>D193+1</f>
        <v>#NUM!</v>
      </c>
      <c r="E195" s="194" t="e">
        <f>DATE(YEAR(E194),MONTH(E194),DAY(E194)+1)</f>
        <v>#NUM!</v>
      </c>
      <c r="F195" s="195" t="e">
        <f t="shared" si="75"/>
        <v>#NUM!</v>
      </c>
      <c r="G195" s="196" t="e">
        <f t="shared" si="76"/>
        <v>#NUM!</v>
      </c>
      <c r="H195" s="195" t="e">
        <f t="shared" si="77"/>
        <v>#NUM!</v>
      </c>
      <c r="I195" s="197">
        <f>IF(J197&lt;13,J197,"")</f>
        <v>9</v>
      </c>
      <c r="J195" s="224">
        <f>G190</f>
        <v>0</v>
      </c>
      <c r="K195" s="506" t="str">
        <f t="shared" si="62"/>
        <v/>
      </c>
      <c r="L195" s="471"/>
      <c r="M195" s="473" t="e">
        <f ca="1">SUM(J190-E196)&amp;" Tage"</f>
        <v>#NUM!</v>
      </c>
      <c r="N195" s="200"/>
      <c r="O195" s="201"/>
      <c r="P195" s="201"/>
      <c r="Q195" s="202"/>
      <c r="R195" s="189"/>
      <c r="S195" s="203"/>
      <c r="T195" s="203"/>
      <c r="U195" s="204"/>
      <c r="V195" s="192"/>
      <c r="W195" s="203"/>
      <c r="X195" s="203"/>
      <c r="Y195" s="204"/>
      <c r="Z195" s="192"/>
      <c r="AA195" s="203"/>
      <c r="AB195" s="203"/>
      <c r="AC195" s="204"/>
      <c r="AD195" s="192"/>
      <c r="AE195" s="203"/>
      <c r="AF195" s="203"/>
      <c r="AG195" s="204"/>
      <c r="AH195" s="193"/>
      <c r="AI195" s="203"/>
      <c r="AJ195" s="203"/>
      <c r="AK195" s="375"/>
      <c r="AL195" s="348"/>
      <c r="AM195" s="354"/>
      <c r="AN195" s="354"/>
      <c r="AO195" s="354"/>
      <c r="AP195" s="354"/>
      <c r="AQ195" s="350"/>
      <c r="AR195" s="769"/>
      <c r="AS195" s="769"/>
      <c r="AT195" s="769"/>
      <c r="AW195"/>
      <c r="AX195"/>
      <c r="AY195" s="280"/>
      <c r="AZ195"/>
      <c r="BA195"/>
      <c r="BB195"/>
      <c r="BC195"/>
      <c r="BD195"/>
      <c r="BE195"/>
      <c r="BF195"/>
      <c r="BG195" s="280"/>
      <c r="BH195"/>
      <c r="BI195"/>
      <c r="BJ195"/>
      <c r="BK195"/>
      <c r="BL195"/>
      <c r="BM195"/>
      <c r="BN195"/>
      <c r="BO195"/>
    </row>
    <row r="196" spans="1:67" ht="22.25" customHeight="1">
      <c r="A196" s="181">
        <f t="shared" si="58"/>
        <v>45292</v>
      </c>
      <c r="B196" s="485"/>
      <c r="C196" s="490"/>
      <c r="D196" s="521"/>
      <c r="E196" s="194" t="e">
        <f>DATE(YEAR(E195),MONTH(E195)+3,DAY(E195)-1)</f>
        <v>#NUM!</v>
      </c>
      <c r="F196" s="195" t="e">
        <f t="shared" si="75"/>
        <v>#NUM!</v>
      </c>
      <c r="G196" s="196" t="e">
        <f t="shared" si="76"/>
        <v>#NUM!</v>
      </c>
      <c r="H196" s="195" t="e">
        <f t="shared" si="77"/>
        <v>#NUM!</v>
      </c>
      <c r="I196" s="244">
        <f>IF(J198&lt;13,J198,"")</f>
        <v>6</v>
      </c>
      <c r="J196" s="224">
        <f>J195+3</f>
        <v>3</v>
      </c>
      <c r="K196" s="501" t="str">
        <f t="shared" si="62"/>
        <v>+Inflat.-P</v>
      </c>
      <c r="L196" s="511" t="e">
        <f>IF(M189="Stufe A",IF(AND(L190="Auswahl treffen",D195&gt;=0,D195&lt;=1000),J189,IF(AND(L190="Vermögend und ambulant",D195&gt;8,D195&lt;=1000),130,IF(AND(L190="Vermögend und ambulant",D195&gt;4,D195&lt;=8),158,IF(AND(L190="Vermögend und ambulant",D195&gt;2,D195&lt;=4),192,IF(AND(L190="Vermögend und ambulant",D195&gt;1,D195&lt;=2),208,IF(AND(L190="Vermögend und ambulant",D195&gt;0,D195&lt;=1),298,IF(AND(L190="Vermögend und stationär",D195&gt;8,D195&lt;=1000),78,IF(AND(L190="Vermögend und stationär",D195&gt;4,D195&lt;=8),91,IF(AND(L190="Vermögend und stationär",D195&gt;2,D195&lt;=4),140,IF(AND(L190="Vermögend und stationär",D195&gt;1,D195&lt;=2),158,IF(AND(L190="Vermögend und stationär",D195&gt;0,D195&lt;=1),200,IF(AND(L190="Mittellos und ambulant",D195&gt;8,D195&lt;=1000),105,IF(AND(L190="Mittellos und ambulant",D195&gt;4,D195&lt;=8),122,IF(AND(L190="Mittellos und ambulant",D195&gt;2,D195&lt;=4),151,IF(AND(L190="Mittellos und ambulant",D195&gt;1,D195&lt;=2),170,IF(AND(L190="Mittellos und ambulant",D195&gt;0,D195&lt;=1),208,IF(AND(L190="Mittellos und stationär",D195&gt;8,D195&lt;=1000),62,IF(AND(L190="Mittellos und stationär",D195&gt;4,D195&lt;=8),87,IF(AND(L190="Mittellos und stationär",D195&gt;2,D195&lt;=4),124,IF(AND(L190="Mittellos und stationär",D195&gt;1,D195&lt;=2),129,IF(AND(L190="Mittellos und stationär",D195&gt;0,D195&lt;=1),194,""))))))))))))))))))))),IF(M189="Stufe B",IF(AND(L190="Auswahl treffen",D195&gt;=0,D195&lt;=1000),J189,IF(AND(L190="Vermögend und ambulant",D195&gt;8,D195&lt;=1000),161,IF(AND(L190="Vermögend und ambulant",D195&gt;4,D195&lt;=8),196,IF(AND(L190="Vermögend und ambulant",D195&gt;2,D195&lt;=4),238,IF(AND(L190="Vermögend und ambulant",D195&gt;1,D195&lt;=2),258,IF(AND(L190="Vermögend und ambulant",D195&gt;0,D195&lt;=1),370,IF(AND(L190="Vermögend und stationär",D195&gt;8,D195&lt;=1000),96,IF(AND(L190="Vermögend und stationär",D195&gt;4,D195&lt;=8),113,IF(AND(L190="Vermögend und stationär",D195&gt;2,D195&lt;=4),174,IF(AND(L190="Vermögend und stationär",D195&gt;1,D195&lt;=2),196,IF(AND(L190="Vermögend und stationär",D195&gt;0,D195&lt;=1),249,IF(AND(L190="Mittellos und ambulant",D195&gt;8,D195&lt;=1000),130,IF(AND(L190="Mittellos und ambulant",D195&gt;4,D195&lt;=8),151,IF(AND(L190="Mittellos und ambulant",D195&gt;2,D195&lt;=4),188,IF(AND(L190="Mittellos und ambulant",D195&gt;1,D195&lt;=2),211,IF(AND(L190="Mittellos und ambulant",D195&gt;0,D195&lt;=1),258,IF(AND(L190="Mittellos und stationär",D195&gt;8,D195&lt;=1000),78,IF(AND(L190="Mittellos und stationär",D195&gt;4,D195&lt;=8),107,IF(AND(L190="Mittellos und stationär",D195&gt;2,D195&lt;=4),154,IF(AND(L190="Mittellos und stationär",D195&gt;1,D195&lt;=2),158,IF(AND(L190="Mittellos und stationär",D195&gt;0,D195&lt;=1),241,""))))))))))))))))))))),IF(M189="Stufe C",IF(AND(L190="Auswahl treffen",D195&gt;=0,D195&lt;=1000),J189,IF(AND(L190="Vermögend und ambulant",D195&gt;8,D195&lt;=1000),211,IF(AND(L190="Vermögend und ambulant",D195&gt;4,D195&lt;=8),257,IF(AND(L190="Vermögend und ambulant",D195&gt;2,D195&lt;=4),312,IF(AND(L190="Vermögend und ambulant",D195&gt;1,D195&lt;=2),339,IF(AND(L190="Vermögend und ambulant",D195&gt;0,D195&lt;=1),486,IF(AND(L190="Vermögend und stationär",D195&gt;8,D195&lt;=1000),127,IF(AND(L190="Vermögend und stationär",D195&gt;4,D195&lt;=8),149,IF(AND(L190="Vermögend und stationär",D195&gt;2,D195&lt;=4),229,IF(AND(L190="Vermögend und stationär",D195&gt;1,D195&lt;=2),257,IF(AND(L190="Vermögend und stationär",D195&gt;0,D195&lt;=1),327,IF(AND(L190="Mittellos und ambulant",D195&gt;8,D195&lt;=1000),171,IF(AND(L190="Mittellos und ambulant",D195&gt;4,D195&lt;=8),198,IF(AND(L190="Mittellos und ambulant",D195&gt;2,D195&lt;=4),246,IF(AND(L190="Mittellos und ambulant",D195&gt;1,D195&lt;=2),277,IF(AND(L190="Mittellos und ambulant",D195&gt;0,D195&lt;=1),339,IF(AND(L190="Mittellos und stationär",D195&gt;8,D195&lt;=1000),102,IF(AND(L190="Mittellos und stationär",D195&gt;4,D195&lt;=8),141,IF(AND(L190="Mittellos und stationär",D195&gt;2,D195&lt;=4),202,IF(AND(L190="Mittellos und stationär",D195&gt;1,D195&lt;=2),208,IF(AND(L190="Mittellos und stationär",D195&gt;0,D195&lt;=1),317,""))))))))))))))))))))),"")))*3+(J189*90)</f>
        <v>#NUM!</v>
      </c>
      <c r="M196" s="507" t="str">
        <f>CONCATENATE(K196, K195)</f>
        <v>+Inflat.-P</v>
      </c>
      <c r="N196" s="206"/>
      <c r="O196" s="207"/>
      <c r="P196" s="206" t="s">
        <v>118</v>
      </c>
      <c r="Q196" s="226"/>
      <c r="R196" s="189"/>
      <c r="S196" s="203"/>
      <c r="T196" s="203"/>
      <c r="U196" s="204"/>
      <c r="V196" s="192"/>
      <c r="W196" s="203"/>
      <c r="X196" s="203"/>
      <c r="Y196" s="204"/>
      <c r="Z196" s="192"/>
      <c r="AA196" s="209" t="s">
        <v>118</v>
      </c>
      <c r="AB196" s="209" t="s">
        <v>117</v>
      </c>
      <c r="AC196" s="204" t="s">
        <v>26</v>
      </c>
      <c r="AD196" s="192"/>
      <c r="AE196" s="203"/>
      <c r="AF196" s="203"/>
      <c r="AG196" s="204"/>
      <c r="AH196" s="193"/>
      <c r="AI196" s="203"/>
      <c r="AJ196" s="203"/>
      <c r="AK196" s="375"/>
      <c r="AL196" s="348" t="s">
        <v>150</v>
      </c>
      <c r="AM196" s="354"/>
      <c r="AN196" s="354"/>
      <c r="AO196" s="354">
        <f>IF(SUM(P190:P198)=SUM(AA190:AA198), 0, SUM(P190:P198)-SUM(AA190:AA198))</f>
        <v>0</v>
      </c>
      <c r="AP196" s="354"/>
      <c r="AQ196" s="350">
        <f>AM196+AN196+AO196+AP196</f>
        <v>0</v>
      </c>
      <c r="AR196" s="769"/>
      <c r="AS196" s="769"/>
      <c r="AT196" s="769"/>
      <c r="AW196"/>
      <c r="AX196"/>
      <c r="AY196" s="280"/>
      <c r="AZ196"/>
      <c r="BA196"/>
      <c r="BB196"/>
      <c r="BC196"/>
      <c r="BD196"/>
      <c r="BE196"/>
      <c r="BF196"/>
      <c r="BG196" s="280"/>
      <c r="BH196"/>
      <c r="BI196"/>
      <c r="BJ196"/>
      <c r="BK196"/>
      <c r="BL196"/>
      <c r="BM196"/>
      <c r="BN196"/>
      <c r="BO196"/>
    </row>
    <row r="197" spans="1:67" ht="22.25" customHeight="1">
      <c r="A197" s="181">
        <f t="shared" si="58"/>
        <v>45292</v>
      </c>
      <c r="B197" s="486"/>
      <c r="C197" s="489" t="s">
        <v>158</v>
      </c>
      <c r="D197" s="522" t="e">
        <f>D195+1</f>
        <v>#NUM!</v>
      </c>
      <c r="E197" s="211" t="e">
        <f>DATE(YEAR(E196),MONTH(E196),DAY(E196)+1)</f>
        <v>#NUM!</v>
      </c>
      <c r="F197" s="227" t="e">
        <f t="shared" si="75"/>
        <v>#NUM!</v>
      </c>
      <c r="G197" s="228" t="e">
        <f t="shared" si="76"/>
        <v>#NUM!</v>
      </c>
      <c r="H197" s="227" t="e">
        <f t="shared" si="77"/>
        <v>#NUM!</v>
      </c>
      <c r="I197" s="231">
        <f>IF(J196&lt;13,J196,"")</f>
        <v>3</v>
      </c>
      <c r="J197" s="230">
        <f>J198+3</f>
        <v>9</v>
      </c>
      <c r="K197" s="506" t="str">
        <f t="shared" si="62"/>
        <v/>
      </c>
      <c r="L197" s="471"/>
      <c r="M197" s="473" t="e">
        <f ca="1">SUM(J190-E198)&amp;" Tage"</f>
        <v>#NUM!</v>
      </c>
      <c r="N197" s="216"/>
      <c r="O197" s="188"/>
      <c r="P197" s="188"/>
      <c r="Q197" s="217"/>
      <c r="R197" s="189"/>
      <c r="S197" s="190"/>
      <c r="T197" s="190"/>
      <c r="U197" s="191"/>
      <c r="V197" s="192"/>
      <c r="W197" s="190"/>
      <c r="X197" s="190"/>
      <c r="Y197" s="191"/>
      <c r="Z197" s="192"/>
      <c r="AA197" s="190"/>
      <c r="AB197" s="190"/>
      <c r="AC197" s="191"/>
      <c r="AD197" s="192"/>
      <c r="AE197" s="190"/>
      <c r="AF197" s="190"/>
      <c r="AG197" s="191"/>
      <c r="AH197" s="193"/>
      <c r="AI197" s="190"/>
      <c r="AJ197" s="190"/>
      <c r="AK197" s="374"/>
      <c r="AL197" s="348"/>
      <c r="AM197" s="354"/>
      <c r="AN197" s="354"/>
      <c r="AO197" s="354"/>
      <c r="AP197" s="354"/>
      <c r="AQ197" s="350"/>
      <c r="AR197" s="769"/>
      <c r="AS197" s="769"/>
      <c r="AT197" s="769"/>
      <c r="AW197"/>
      <c r="AX197"/>
      <c r="AY197" s="280"/>
      <c r="AZ197"/>
      <c r="BA197"/>
      <c r="BB197"/>
      <c r="BC197"/>
      <c r="BD197"/>
      <c r="BE197"/>
      <c r="BF197"/>
      <c r="BG197" s="280"/>
      <c r="BH197"/>
      <c r="BI197"/>
      <c r="BJ197"/>
      <c r="BK197"/>
      <c r="BL197"/>
      <c r="BM197"/>
      <c r="BN197"/>
      <c r="BO197"/>
    </row>
    <row r="198" spans="1:67" ht="22.25" customHeight="1">
      <c r="A198" s="181">
        <f t="shared" si="58"/>
        <v>45292</v>
      </c>
      <c r="B198" s="485"/>
      <c r="C198" s="490"/>
      <c r="D198" s="521"/>
      <c r="E198" s="218" t="e">
        <f>DATE(YEAR(E197),MONTH(E197)+3,DAY(E197)-1)</f>
        <v>#NUM!</v>
      </c>
      <c r="F198" s="227" t="e">
        <f t="shared" si="75"/>
        <v>#NUM!</v>
      </c>
      <c r="G198" s="228" t="e">
        <f t="shared" si="76"/>
        <v>#NUM!</v>
      </c>
      <c r="H198" s="227" t="e">
        <f t="shared" si="77"/>
        <v>#NUM!</v>
      </c>
      <c r="I198" s="231">
        <f>IF(J195&lt;13,J195,"")</f>
        <v>0</v>
      </c>
      <c r="J198" s="230">
        <f>J196+3</f>
        <v>6</v>
      </c>
      <c r="K198" s="501" t="str">
        <f t="shared" si="62"/>
        <v>+Inflat.-P</v>
      </c>
      <c r="L198" s="508" t="e">
        <f>IF(M189="Stufe A",IF(AND(L190="Auswahl treffen",D197&gt;=0,D197&lt;=1000),J189,IF(AND(L190="Vermögend und ambulant",D197&gt;8,D197&lt;=1000),130,IF(AND(L190="Vermögend und ambulant",D197&gt;4,D197&lt;=8),158,IF(AND(L190="Vermögend und ambulant",D197&gt;2,D197&lt;=4),192,IF(AND(L190="Vermögend und ambulant",D197&gt;1,D197&lt;=2),208,IF(AND(L190="Vermögend und ambulant",D197&gt;0,D197&lt;=1),298,IF(AND(L190="Vermögend und stationär",D197&gt;8,D197&lt;=1000),78,IF(AND(L190="Vermögend und stationär",D197&gt;4,D197&lt;=8),91,IF(AND(L190="Vermögend und stationär",D197&gt;2,D197&lt;=4),140,IF(AND(L190="Vermögend und stationär",D197&gt;1,D197&lt;=2),158,IF(AND(L190="Vermögend und stationär",D197&gt;0,D197&lt;=1),200,IF(AND(L190="Mittellos und ambulant",D197&gt;8,D197&lt;=1000),105,IF(AND(L190="Mittellos und ambulant",D197&gt;4,D197&lt;=8),122,IF(AND(L190="Mittellos und ambulant",D197&gt;2,D197&lt;=4),151,IF(AND(L190="Mittellos und ambulant",D197&gt;1,D197&lt;=2),170,IF(AND(L190="Mittellos und ambulant",D197&gt;0,D197&lt;=1),208,IF(AND(L190="Mittellos und stationär",D197&gt;8,D197&lt;=1000),62,IF(AND(L190="Mittellos und stationär",D197&gt;4,D197&lt;=8),87,IF(AND(L190="Mittellos und stationär",D197&gt;2,D197&lt;=4),124,IF(AND(L190="Mittellos und stationär",D197&gt;1,D197&lt;=2),129,IF(AND(L190="Mittellos und stationär",D197&gt;0,D197&lt;=1),194,""))))))))))))))))))))),IF(M189="Stufe B",IF(AND(L190="Auswahl treffen",D197&gt;=0,D197&lt;=1000),J189,IF(AND(L190="Vermögend und ambulant",D197&gt;8,D197&lt;=1000),161,IF(AND(L190="Vermögend und ambulant",D197&gt;4,D197&lt;=8),196,IF(AND(L190="Vermögend und ambulant",D197&gt;2,D197&lt;=4),238,IF(AND(L190="Vermögend und ambulant",D197&gt;1,D197&lt;=2),258,IF(AND(L190="Vermögend und ambulant",D197&gt;0,D197&lt;=1),370,IF(AND(L190="Vermögend und stationär",D197&gt;8,D197&lt;=1000),96,IF(AND(L190="Vermögend und stationär",D197&gt;4,D197&lt;=8),113,IF(AND(L190="Vermögend und stationär",D197&gt;2,D197&lt;=4),174,IF(AND(L190="Vermögend und stationär",D197&gt;1,D197&lt;=2),196,IF(AND(L190="Vermögend und stationär",D197&gt;0,D197&lt;=1),249,IF(AND(L190="Mittellos und ambulant",D197&gt;8,D197&lt;=1000),130,IF(AND(L190="Mittellos und ambulant",D197&gt;4,D197&lt;=8),151,IF(AND(L190="Mittellos und ambulant",D197&gt;2,D197&lt;=4),188,IF(AND(L190="Mittellos und ambulant",D197&gt;1,D197&lt;=2),211,IF(AND(L190="Mittellos und ambulant",D197&gt;0,D197&lt;=1),258,IF(AND(L190="Mittellos und stationär",D197&gt;8,D197&lt;=1000),78,IF(AND(L190="Mittellos und stationär",D197&gt;4,D197&lt;=8),107,IF(AND(L190="Mittellos und stationär",D197&gt;2,D197&lt;=4),154,IF(AND(L190="Mittellos und stationär",D197&gt;1,D197&lt;=2),158,IF(AND(L190="Mittellos und stationär",D197&gt;0,D197&lt;=1),241,""))))))))))))))))))))),IF(M189="Stufe C",IF(AND(L190="Auswahl treffen",D197&gt;=0,D197&lt;=1000),J189,IF(AND(L190="Vermögend und ambulant",D197&gt;8,D197&lt;=1000),211,IF(AND(L190="Vermögend und ambulant",D197&gt;4,D197&lt;=8),257,IF(AND(L190="Vermögend und ambulant",D197&gt;2,D197&lt;=4),312,IF(AND(L190="Vermögend und ambulant",D197&gt;1,D197&lt;=2),339,IF(AND(L190="Vermögend und ambulant",D197&gt;0,D197&lt;=1),486,IF(AND(L190="Vermögend und stationär",D197&gt;8,D197&lt;=1000),127,IF(AND(L190="Vermögend und stationär",D197&gt;4,D197&lt;=8),149,IF(AND(L190="Vermögend und stationär",D197&gt;2,D197&lt;=4),229,IF(AND(L190="Vermögend und stationär",D197&gt;1,D197&lt;=2),257,IF(AND(L190="Vermögend und stationär",D197&gt;0,D197&lt;=1),327,IF(AND(L190="Mittellos und ambulant",D197&gt;8,D197&lt;=1000),171,IF(AND(L190="Mittellos und ambulant",D197&gt;4,D197&lt;=8),198,IF(AND(L190="Mittellos und ambulant",D197&gt;2,D197&lt;=4),246,IF(AND(L190="Mittellos und ambulant",D197&gt;1,D197&lt;=2),277,IF(AND(L190="Mittellos und ambulant",D197&gt;0,D197&lt;=1),339,IF(AND(L190="Mittellos und stationär",D197&gt;8,D197&lt;=1000),102,IF(AND(L190="Mittellos und stationär",D197&gt;4,D197&lt;=8),141,IF(AND(L190="Mittellos und stationär",D197&gt;2,D197&lt;=4),202,IF(AND(L190="Mittellos und stationär",D197&gt;1,D197&lt;=2),208,IF(AND(L190="Mittellos und stationär",D197&gt;0,D197&lt;=1),317,""))))))))))))))))))))),"")))*3+(J189*90)</f>
        <v>#NUM!</v>
      </c>
      <c r="M198" s="507" t="str">
        <f>CONCATENATE(K198, K197)</f>
        <v>+Inflat.-P</v>
      </c>
      <c r="N198" s="216"/>
      <c r="O198" s="188"/>
      <c r="P198" s="188"/>
      <c r="Q198" s="217" t="s">
        <v>118</v>
      </c>
      <c r="R198" s="189"/>
      <c r="S198" s="190"/>
      <c r="T198" s="190"/>
      <c r="U198" s="191"/>
      <c r="V198" s="192"/>
      <c r="W198" s="190"/>
      <c r="X198" s="190"/>
      <c r="Y198" s="191"/>
      <c r="Z198" s="192"/>
      <c r="AA198" s="190"/>
      <c r="AB198" s="190"/>
      <c r="AC198" s="191"/>
      <c r="AD198" s="192"/>
      <c r="AE198" s="190" t="s">
        <v>118</v>
      </c>
      <c r="AF198" s="190" t="s">
        <v>117</v>
      </c>
      <c r="AG198" s="191" t="s">
        <v>26</v>
      </c>
      <c r="AH198" s="193"/>
      <c r="AI198" s="190" t="s">
        <v>118</v>
      </c>
      <c r="AJ198" s="190" t="s">
        <v>117</v>
      </c>
      <c r="AK198" s="374" t="s">
        <v>26</v>
      </c>
      <c r="AL198" s="348" t="s">
        <v>151</v>
      </c>
      <c r="AM198" s="354"/>
      <c r="AN198" s="354"/>
      <c r="AO198" s="354"/>
      <c r="AP198" s="354">
        <f>IF(SUM(Q190:Q198)=SUM(AE190:AE198,AI190:AI198), 0, SUM(Q190:Q198)-SUM(AE190:AE198,AI190:AI198))</f>
        <v>0</v>
      </c>
      <c r="AQ198" s="350">
        <f>AM198+AN198+AO198+AP198</f>
        <v>0</v>
      </c>
      <c r="AR198" s="769"/>
      <c r="AS198" s="769"/>
      <c r="AT198" s="769"/>
      <c r="AW198"/>
      <c r="AX198"/>
      <c r="AY198" s="280"/>
      <c r="AZ198"/>
      <c r="BA198"/>
      <c r="BB198"/>
      <c r="BC198"/>
      <c r="BD198"/>
      <c r="BE198"/>
      <c r="BF198"/>
      <c r="BG198" s="280"/>
      <c r="BH198"/>
      <c r="BI198"/>
      <c r="BJ198"/>
      <c r="BK198"/>
      <c r="BL198"/>
      <c r="BM198"/>
      <c r="BN198"/>
      <c r="BO198"/>
    </row>
    <row r="199" spans="1:67" ht="22" customHeight="1">
      <c r="A199" s="181">
        <f t="shared" si="58"/>
        <v>45292</v>
      </c>
      <c r="B199" s="232" t="s">
        <v>74</v>
      </c>
      <c r="C199" s="233" t="s">
        <v>75</v>
      </c>
      <c r="D199" s="234" t="s">
        <v>76</v>
      </c>
      <c r="E199" s="235" t="s">
        <v>11</v>
      </c>
      <c r="F199" s="235" t="s">
        <v>4</v>
      </c>
      <c r="G199" s="235" t="s">
        <v>5</v>
      </c>
      <c r="H199" s="235" t="s">
        <v>6</v>
      </c>
      <c r="I199" s="236" t="s">
        <v>77</v>
      </c>
      <c r="J199" s="306"/>
      <c r="K199" s="506" t="str">
        <f t="shared" si="62"/>
        <v/>
      </c>
      <c r="L199" s="306" t="str">
        <f>IFERROR(VLOOKUP(B200,'Aktuelle Einnahmen'!A2:J104,10,0),"")</f>
        <v/>
      </c>
      <c r="M199" s="510" t="str">
        <f>M189</f>
        <v>Stufe C</v>
      </c>
      <c r="N199" s="237"/>
      <c r="O199" s="238"/>
      <c r="P199" s="238"/>
      <c r="Q199" s="239"/>
      <c r="R199" s="240"/>
      <c r="S199" s="241"/>
      <c r="T199" s="241"/>
      <c r="U199" s="242"/>
      <c r="V199" s="243"/>
      <c r="W199" s="241"/>
      <c r="X199" s="241"/>
      <c r="Y199" s="242"/>
      <c r="Z199" s="243"/>
      <c r="AA199" s="241"/>
      <c r="AB199" s="241"/>
      <c r="AC199" s="242"/>
      <c r="AD199" s="243"/>
      <c r="AE199" s="241"/>
      <c r="AF199" s="241"/>
      <c r="AG199" s="242"/>
      <c r="AH199" s="240"/>
      <c r="AI199" s="241"/>
      <c r="AJ199" s="241"/>
      <c r="AK199" s="377"/>
      <c r="AL199" s="347"/>
      <c r="AM199" s="353"/>
      <c r="AN199" s="353"/>
      <c r="AO199" s="353"/>
      <c r="AP199" s="353"/>
      <c r="AQ199" s="349"/>
      <c r="AR199" s="768"/>
      <c r="AS199" s="768"/>
      <c r="AT199" s="768"/>
      <c r="AW199"/>
      <c r="AX199"/>
      <c r="AY199" s="280"/>
      <c r="AZ199"/>
      <c r="BA199"/>
      <c r="BB199"/>
      <c r="BC199"/>
      <c r="BD199"/>
      <c r="BE199"/>
      <c r="BF199"/>
      <c r="BG199" s="280"/>
      <c r="BH199"/>
      <c r="BI199"/>
      <c r="BJ199"/>
      <c r="BK199"/>
      <c r="BL199"/>
      <c r="BM199"/>
      <c r="BN199"/>
      <c r="BO199"/>
    </row>
    <row r="200" spans="1:67" ht="23" customHeight="1">
      <c r="A200" s="181">
        <f t="shared" si="58"/>
        <v>45292</v>
      </c>
      <c r="B200" s="182">
        <v>20</v>
      </c>
      <c r="C200" s="245">
        <f>IFERROR(VLOOKUP($B200,'Aktuelle Einnahmen'!A2:G104,3,0),"")</f>
        <v>0</v>
      </c>
      <c r="D200" s="246">
        <f>IFERROR(VLOOKUP($B200,'Aktuelle Einnahmen'!A2:G104,2,0),"")</f>
        <v>0</v>
      </c>
      <c r="E200" s="247">
        <f>IFERROR(VLOOKUP($B200,'Aktuelle Einnahmen'!A2:G104,4,0),"")</f>
        <v>0</v>
      </c>
      <c r="F200" s="94">
        <f>IFERROR(VLOOKUP($B200,'Aktuelle Einnahmen'!A2:G104,5,0),"")</f>
        <v>0</v>
      </c>
      <c r="G200" s="94">
        <f>IFERROR(VLOOKUP($B200,'Aktuelle Einnahmen'!A2:G104,6,0),"")</f>
        <v>0</v>
      </c>
      <c r="H200" s="94">
        <f>IFERROR(VLOOKUP($B200,'Aktuelle Einnahmen'!A2:G104,7,0),"")</f>
        <v>0</v>
      </c>
      <c r="I200" s="186" t="e">
        <f>DATE(H200,G200,F200)</f>
        <v>#NUM!</v>
      </c>
      <c r="J200" s="472">
        <f ca="1">J190</f>
        <v>45475</v>
      </c>
      <c r="K200" s="501" t="str">
        <f t="shared" si="62"/>
        <v>+Inflat.-P</v>
      </c>
      <c r="L200" s="1262" t="str">
        <f>IFERROR(VLOOKUP(B200,'Aktuelle Einnahmen'!A12:I114,9,0),"")</f>
        <v>Auswahl treffen</v>
      </c>
      <c r="M200" s="1263"/>
      <c r="N200" s="261"/>
      <c r="O200" s="261"/>
      <c r="P200" s="261"/>
      <c r="Q200" s="261"/>
      <c r="R200" s="189"/>
      <c r="S200" s="190"/>
      <c r="T200" s="190"/>
      <c r="U200" s="191"/>
      <c r="V200" s="192"/>
      <c r="W200" s="190"/>
      <c r="X200" s="190"/>
      <c r="Y200" s="191"/>
      <c r="Z200" s="192"/>
      <c r="AA200" s="190"/>
      <c r="AB200" s="190"/>
      <c r="AC200" s="191"/>
      <c r="AD200" s="192"/>
      <c r="AE200" s="190"/>
      <c r="AF200" s="190"/>
      <c r="AG200" s="191"/>
      <c r="AH200" s="193"/>
      <c r="AI200" s="190"/>
      <c r="AJ200" s="190"/>
      <c r="AK200" s="374"/>
      <c r="AL200" s="348"/>
      <c r="AM200" s="354"/>
      <c r="AN200" s="354"/>
      <c r="AO200" s="354"/>
      <c r="AP200" s="354"/>
      <c r="AQ200" s="350"/>
      <c r="AR200" s="769"/>
      <c r="AS200" s="769"/>
      <c r="AT200" s="769"/>
      <c r="AW200"/>
      <c r="AX200"/>
      <c r="AY200" s="280"/>
      <c r="AZ200"/>
      <c r="BA200"/>
      <c r="BB200"/>
      <c r="BC200"/>
      <c r="BD200"/>
      <c r="BE200"/>
      <c r="BF200"/>
      <c r="BG200" s="280"/>
      <c r="BH200"/>
      <c r="BI200"/>
      <c r="BJ200"/>
      <c r="BK200"/>
      <c r="BL200"/>
      <c r="BM200"/>
      <c r="BN200"/>
      <c r="BO200"/>
    </row>
    <row r="201" spans="1:67" ht="22.25" customHeight="1">
      <c r="A201" s="181">
        <f t="shared" ref="A201:A264" si="78">$A200</f>
        <v>45292</v>
      </c>
      <c r="B201" s="484" t="e">
        <f>DAY(I200)</f>
        <v>#NUM!</v>
      </c>
      <c r="C201" s="489" t="s">
        <v>158</v>
      </c>
      <c r="D201" s="520" t="e">
        <f>(I201*4)+J201/3+1</f>
        <v>#NUM!</v>
      </c>
      <c r="E201" s="194" t="e">
        <f>J203+1</f>
        <v>#NUM!</v>
      </c>
      <c r="F201" s="195" t="e">
        <f t="shared" ref="F201:F208" si="79">DAY(E201)</f>
        <v>#NUM!</v>
      </c>
      <c r="G201" s="196" t="e">
        <f t="shared" ref="G201:G208" si="80">MONTH(E201)</f>
        <v>#NUM!</v>
      </c>
      <c r="H201" s="195" t="e">
        <f t="shared" ref="H201:H208" si="81">YEAR(E201)</f>
        <v>#NUM!</v>
      </c>
      <c r="I201" s="197" t="e">
        <f>H201-(H200+2000)</f>
        <v>#NUM!</v>
      </c>
      <c r="J201" s="198" t="e">
        <f>G201-G200</f>
        <v>#NUM!</v>
      </c>
      <c r="K201" s="506" t="str">
        <f>L199</f>
        <v/>
      </c>
      <c r="L201" s="469"/>
      <c r="M201" s="473" t="e">
        <f ca="1">SUM(J200-E202)&amp;" Tage"</f>
        <v>#NUM!</v>
      </c>
      <c r="N201" s="206"/>
      <c r="O201" s="201"/>
      <c r="P201" s="201"/>
      <c r="Q201" s="202"/>
      <c r="R201" s="189"/>
      <c r="S201" s="203"/>
      <c r="T201" s="203"/>
      <c r="U201" s="204"/>
      <c r="V201" s="192"/>
      <c r="W201" s="203"/>
      <c r="X201" s="203"/>
      <c r="Y201" s="204"/>
      <c r="Z201" s="192"/>
      <c r="AA201" s="203"/>
      <c r="AB201" s="203"/>
      <c r="AC201" s="204"/>
      <c r="AD201" s="192"/>
      <c r="AE201" s="203"/>
      <c r="AF201" s="203"/>
      <c r="AG201" s="204"/>
      <c r="AH201" s="193"/>
      <c r="AI201" s="203"/>
      <c r="AJ201" s="203"/>
      <c r="AK201" s="375"/>
      <c r="AL201" s="348"/>
      <c r="AM201" s="354"/>
      <c r="AN201" s="354"/>
      <c r="AO201" s="354"/>
      <c r="AP201" s="354"/>
      <c r="AQ201" s="350"/>
      <c r="AR201" s="769"/>
      <c r="AS201" s="769"/>
      <c r="AT201" s="769"/>
      <c r="AW201"/>
      <c r="AX201"/>
      <c r="AY201" s="280"/>
      <c r="AZ201"/>
      <c r="BA201"/>
      <c r="BB201"/>
      <c r="BC201"/>
      <c r="BD201"/>
      <c r="BE201"/>
      <c r="BF201"/>
      <c r="BG201" s="280"/>
      <c r="BH201"/>
      <c r="BI201"/>
      <c r="BJ201"/>
      <c r="BK201"/>
      <c r="BL201"/>
      <c r="BM201"/>
      <c r="BN201"/>
      <c r="BO201"/>
    </row>
    <row r="202" spans="1:67" ht="22.25" customHeight="1">
      <c r="A202" s="181">
        <f t="shared" si="78"/>
        <v>45292</v>
      </c>
      <c r="B202" s="485"/>
      <c r="C202" s="490"/>
      <c r="D202" s="521"/>
      <c r="E202" s="194" t="e">
        <f>DATE(YEAR(E201),MONTH(E201)+3,DAY(E201)-1)</f>
        <v>#NUM!</v>
      </c>
      <c r="F202" s="195" t="e">
        <f t="shared" si="79"/>
        <v>#NUM!</v>
      </c>
      <c r="G202" s="196" t="e">
        <f t="shared" si="80"/>
        <v>#NUM!</v>
      </c>
      <c r="H202" s="195" t="e">
        <f t="shared" si="81"/>
        <v>#NUM!</v>
      </c>
      <c r="I202" s="244">
        <v>-1</v>
      </c>
      <c r="J202" s="198" t="e">
        <f>F201-F200</f>
        <v>#NUM!</v>
      </c>
      <c r="K202" s="506" t="str">
        <f t="shared" si="62"/>
        <v>+Inflat.-P</v>
      </c>
      <c r="L202" s="511" t="e">
        <f>IF(M199="Stufe A",IF(AND(L200="Auswahl treffen",D201&gt;=0,D201&lt;=1000),J199,IF(AND(L200="Vermögend und ambulant",D201&gt;8,D201&lt;=1000),130,IF(AND(L200="Vermögend und ambulant",D201&gt;4,D201&lt;=8),158,IF(AND(L200="Vermögend und ambulant",D201&gt;2,D201&lt;=4),192,IF(AND(L200="Vermögend und ambulant",D201&gt;1,D201&lt;=2),208,IF(AND(L200="Vermögend und ambulant",D201&gt;0,D201&lt;=1),298,IF(AND(L200="Vermögend und stationär",D201&gt;8,D201&lt;=1000),78,IF(AND(L200="Vermögend und stationär",D201&gt;4,D201&lt;=8),91,IF(AND(L200="Vermögend und stationär",D201&gt;2,D201&lt;=4),140,IF(AND(L200="Vermögend und stationär",D201&gt;1,D201&lt;=2),158,IF(AND(L200="Vermögend und stationär",D201&gt;0,D201&lt;=1),200,IF(AND(L200="Mittellos und ambulant",D201&gt;8,D201&lt;=1000),105,IF(AND(L200="Mittellos und ambulant",D201&gt;4,D201&lt;=8),122,IF(AND(L200="Mittellos und ambulant",D201&gt;2,D201&lt;=4),151,IF(AND(L200="Mittellos und ambulant",D201&gt;1,D201&lt;=2),170,IF(AND(L200="Mittellos und ambulant",D201&gt;0,D201&lt;=1),208,IF(AND(L200="Mittellos und stationär",D201&gt;8,D201&lt;=1000),62,IF(AND(L200="Mittellos und stationär",D201&gt;4,D201&lt;=8),87,IF(AND(L200="Mittellos und stationär",D201&gt;2,D201&lt;=4),124,IF(AND(L200="Mittellos und stationär",D201&gt;1,D201&lt;=2),129,IF(AND(L200="Mittellos und stationär",D201&gt;0,D201&lt;=1),194,""))))))))))))))))))))),IF(M199="Stufe B",IF(AND(L200="Auswahl treffen",D201&gt;=0,D201&lt;=1000),J199,IF(AND(L200="Vermögend und ambulant",D201&gt;8,D201&lt;=1000),161,IF(AND(L200="Vermögend und ambulant",D201&gt;4,D201&lt;=8),196,IF(AND(L200="Vermögend und ambulant",D201&gt;2,D201&lt;=4),238,IF(AND(L200="Vermögend und ambulant",D201&gt;1,D201&lt;=2),258,IF(AND(L200="Vermögend und ambulant",D201&gt;0,D201&lt;=1),370,IF(AND(L200="Vermögend und stationär",D201&gt;8,D201&lt;=1000),96,IF(AND(L200="Vermögend und stationär",D201&gt;4,D201&lt;=8),113,IF(AND(L200="Vermögend und stationär",D201&gt;2,D201&lt;=4),174,IF(AND(L200="Vermögend und stationär",D201&gt;1,D201&lt;=2),196,IF(AND(L200="Vermögend und stationär",D201&gt;0,D201&lt;=1),249,IF(AND(L200="Mittellos und ambulant",D201&gt;8,D201&lt;=1000),130,IF(AND(L200="Mittellos und ambulant",D201&gt;4,D201&lt;=8),151,IF(AND(L200="Mittellos und ambulant",D201&gt;2,D201&lt;=4),188,IF(AND(L200="Mittellos und ambulant",D201&gt;1,D201&lt;=2),211,IF(AND(L200="Mittellos und ambulant",D201&gt;0,D201&lt;=1),258,IF(AND(L200="Mittellos und stationär",D201&gt;8,D201&lt;=1000),78,IF(AND(L200="Mittellos und stationär",D201&gt;4,D201&lt;=8),107,IF(AND(L200="Mittellos und stationär",D201&gt;2,D201&lt;=4),154,IF(AND(L200="Mittellos und stationär",D201&gt;1,D201&lt;=2),158,IF(AND(L200="Mittellos und stationär",D201&gt;0,D201&lt;=1),241,""))))))))))))))))))))),IF(M199="Stufe C",IF(AND(L200="Auswahl treffen",D201&gt;=0,D201&lt;=1000),J199,IF(AND(L200="Vermögend und ambulant",D201&gt;8,D201&lt;=1000),211,IF(AND(L200="Vermögend und ambulant",D201&gt;4,D201&lt;=8),257,IF(AND(L200="Vermögend und ambulant",D201&gt;2,D201&lt;=4),312,IF(AND(L200="Vermögend und ambulant",D201&gt;1,D201&lt;=2),339,IF(AND(L200="Vermögend und ambulant",D201&gt;0,D201&lt;=1),486,IF(AND(L200="Vermögend und stationär",D201&gt;8,D201&lt;=1000),127,IF(AND(L200="Vermögend und stationär",D201&gt;4,D201&lt;=8),149,IF(AND(L200="Vermögend und stationär",D201&gt;2,D201&lt;=4),229,IF(AND(L200="Vermögend und stationär",D201&gt;1,D201&lt;=2),257,IF(AND(L200="Vermögend und stationär",D201&gt;0,D201&lt;=1),327,IF(AND(L200="Mittellos und ambulant",D201&gt;8,D201&lt;=1000),171,IF(AND(L200="Mittellos und ambulant",D201&gt;4,D201&lt;=8),198,IF(AND(L200="Mittellos und ambulant",D201&gt;2,D201&lt;=4),246,IF(AND(L200="Mittellos und ambulant",D201&gt;1,D201&lt;=2),277,IF(AND(L200="Mittellos und ambulant",D201&gt;0,D201&lt;=1),339,IF(AND(L200="Mittellos und stationär",D201&gt;8,D201&lt;=1000),102,IF(AND(L200="Mittellos und stationär",D201&gt;4,D201&lt;=8),141,IF(AND(L200="Mittellos und stationär",D201&gt;2,D201&lt;=4),202,IF(AND(L200="Mittellos und stationär",D201&gt;1,D201&lt;=2),208,IF(AND(L200="Mittellos und stationär",D201&gt;0,D201&lt;=1),317,""))))))))))))))))))))),"")))*3+(J199*90)</f>
        <v>#NUM!</v>
      </c>
      <c r="M202" s="507" t="str">
        <f>CONCATENATE(K202, K201)</f>
        <v>+Inflat.-P</v>
      </c>
      <c r="N202" s="206" t="s">
        <v>118</v>
      </c>
      <c r="O202" s="207"/>
      <c r="P202" s="207"/>
      <c r="Q202" s="208"/>
      <c r="R202" s="187"/>
      <c r="S202" s="209" t="s">
        <v>118</v>
      </c>
      <c r="T202" s="201" t="s">
        <v>117</v>
      </c>
      <c r="U202" s="210" t="s">
        <v>26</v>
      </c>
      <c r="V202" s="192"/>
      <c r="W202" s="203"/>
      <c r="X202" s="203"/>
      <c r="Y202" s="210"/>
      <c r="Z202" s="192"/>
      <c r="AA202" s="203"/>
      <c r="AB202" s="203"/>
      <c r="AC202" s="210"/>
      <c r="AD202" s="192"/>
      <c r="AE202" s="203"/>
      <c r="AF202" s="203"/>
      <c r="AG202" s="210"/>
      <c r="AH202" s="193"/>
      <c r="AI202" s="203"/>
      <c r="AJ202" s="203"/>
      <c r="AK202" s="376"/>
      <c r="AL202" s="348" t="s">
        <v>148</v>
      </c>
      <c r="AM202" s="354">
        <f>IF(SUM(N200:N208)=SUM(S200:S208), 0, SUM(N200:N208)-SUM(S200:S208))</f>
        <v>0</v>
      </c>
      <c r="AN202" s="354"/>
      <c r="AO202" s="354"/>
      <c r="AP202" s="354"/>
      <c r="AQ202" s="350">
        <f>AM202+AN202+AO202+AP202</f>
        <v>0</v>
      </c>
      <c r="AR202" s="769"/>
      <c r="AS202" s="769"/>
      <c r="AT202" s="769"/>
      <c r="AW202"/>
      <c r="AX202"/>
      <c r="AY202" s="280"/>
      <c r="AZ202"/>
      <c r="BA202"/>
      <c r="BB202"/>
      <c r="BC202"/>
      <c r="BD202"/>
      <c r="BE202"/>
      <c r="BF202"/>
      <c r="BG202" s="280"/>
      <c r="BH202"/>
      <c r="BI202"/>
      <c r="BJ202"/>
      <c r="BK202"/>
      <c r="BL202"/>
      <c r="BM202"/>
      <c r="BN202"/>
      <c r="BO202"/>
    </row>
    <row r="203" spans="1:67" ht="22.25" customHeight="1">
      <c r="A203" s="181">
        <f t="shared" si="78"/>
        <v>45292</v>
      </c>
      <c r="B203" s="484" t="e">
        <f>MONTH(I200)</f>
        <v>#NUM!</v>
      </c>
      <c r="C203" s="489" t="s">
        <v>158</v>
      </c>
      <c r="D203" s="522" t="e">
        <f>D201+1</f>
        <v>#NUM!</v>
      </c>
      <c r="E203" s="211" t="e">
        <f>DATE(YEAR(E202),MONTH(E202),DAY(E202)+1)</f>
        <v>#NUM!</v>
      </c>
      <c r="F203" s="212" t="e">
        <f t="shared" si="79"/>
        <v>#NUM!</v>
      </c>
      <c r="G203" s="213" t="e">
        <f t="shared" si="80"/>
        <v>#NUM!</v>
      </c>
      <c r="H203" s="212" t="e">
        <f t="shared" si="81"/>
        <v>#NUM!</v>
      </c>
      <c r="I203" s="214" t="str">
        <f>IF(D200&lt;&gt;0,"-1T","")</f>
        <v/>
      </c>
      <c r="J203" s="215" t="e">
        <f>DATE($B205,I204,$B201)</f>
        <v>#NUM!</v>
      </c>
      <c r="K203" s="501" t="str">
        <f t="shared" si="62"/>
        <v/>
      </c>
      <c r="L203" s="470"/>
      <c r="M203" s="473" t="e">
        <f ca="1">SUM(J200-E204)&amp;" Tage"</f>
        <v>#NUM!</v>
      </c>
      <c r="N203" s="216"/>
      <c r="O203" s="217"/>
      <c r="P203" s="188"/>
      <c r="Q203" s="217"/>
      <c r="R203" s="189"/>
      <c r="S203" s="190"/>
      <c r="T203" s="190"/>
      <c r="U203" s="191"/>
      <c r="V203" s="192"/>
      <c r="W203" s="190"/>
      <c r="X203" s="190"/>
      <c r="Y203" s="191"/>
      <c r="Z203" s="192"/>
      <c r="AA203" s="190"/>
      <c r="AB203" s="190"/>
      <c r="AC203" s="191"/>
      <c r="AD203" s="192"/>
      <c r="AE203" s="190"/>
      <c r="AF203" s="190"/>
      <c r="AG203" s="191"/>
      <c r="AH203" s="193"/>
      <c r="AI203" s="190"/>
      <c r="AJ203" s="190"/>
      <c r="AK203" s="374"/>
      <c r="AL203" s="348"/>
      <c r="AM203" s="354"/>
      <c r="AN203" s="354"/>
      <c r="AO203" s="354"/>
      <c r="AP203" s="354"/>
      <c r="AQ203" s="350"/>
      <c r="AR203" s="769"/>
      <c r="AS203" s="769"/>
      <c r="AT203" s="769"/>
      <c r="AW203"/>
      <c r="AX203"/>
      <c r="AY203" s="280"/>
      <c r="AZ203"/>
      <c r="BA203"/>
      <c r="BB203"/>
      <c r="BC203"/>
      <c r="BD203"/>
      <c r="BE203"/>
      <c r="BF203"/>
      <c r="BG203" s="280"/>
      <c r="BH203"/>
      <c r="BI203"/>
      <c r="BJ203"/>
      <c r="BK203"/>
      <c r="BL203"/>
      <c r="BM203"/>
      <c r="BN203"/>
      <c r="BO203"/>
    </row>
    <row r="204" spans="1:67" ht="22.25" customHeight="1">
      <c r="A204" s="181">
        <f t="shared" si="78"/>
        <v>45292</v>
      </c>
      <c r="B204" s="485"/>
      <c r="C204" s="490"/>
      <c r="D204" s="521"/>
      <c r="E204" s="218" t="e">
        <f>DATE(YEAR(E203),MONTH(E203)+3,DAY(E203)-1)</f>
        <v>#NUM!</v>
      </c>
      <c r="F204" s="212" t="e">
        <f t="shared" si="79"/>
        <v>#NUM!</v>
      </c>
      <c r="G204" s="213" t="e">
        <f t="shared" si="80"/>
        <v>#NUM!</v>
      </c>
      <c r="H204" s="212" t="e">
        <f t="shared" si="81"/>
        <v>#NUM!</v>
      </c>
      <c r="I204" s="219">
        <f>MAX(I205:I208)</f>
        <v>9</v>
      </c>
      <c r="J204" s="220" t="e">
        <f>DATE(YEAR(J203)+1,MONTH(J203),DAY(J203))</f>
        <v>#NUM!</v>
      </c>
      <c r="K204" s="506" t="str">
        <f t="shared" si="62"/>
        <v>+Inflat.-P</v>
      </c>
      <c r="L204" s="508" t="e">
        <f>IF(M199="Stufe A",IF(AND(L200="Auswahl treffen",D203&gt;=0,D203&lt;=1000),J199,IF(AND(L200="Vermögend und ambulant",D203&gt;8,D203&lt;=1000),130,IF(AND(L200="Vermögend und ambulant",D203&gt;4,D203&lt;=8),158,IF(AND(L200="Vermögend und ambulant",D203&gt;2,D203&lt;=4),192,IF(AND(L200="Vermögend und ambulant",D203&gt;1,D203&lt;=2),208,IF(AND(L200="Vermögend und ambulant",D203&gt;0,D203&lt;=1),298,IF(AND(L200="Vermögend und stationär",D203&gt;8,D203&lt;=1000),78,IF(AND(L200="Vermögend und stationär",D203&gt;4,D203&lt;=8),91,IF(AND(L200="Vermögend und stationär",D203&gt;2,D203&lt;=4),140,IF(AND(L200="Vermögend und stationär",D203&gt;1,D203&lt;=2),158,IF(AND(L200="Vermögend und stationär",D203&gt;0,D203&lt;=1),200,IF(AND(L200="Mittellos und ambulant",D203&gt;8,D203&lt;=1000),105,IF(AND(L200="Mittellos und ambulant",D203&gt;4,D203&lt;=8),122,IF(AND(L200="Mittellos und ambulant",D203&gt;2,D203&lt;=4),151,IF(AND(L200="Mittellos und ambulant",D203&gt;1,D203&lt;=2),170,IF(AND(L200="Mittellos und ambulant",D203&gt;0,D203&lt;=1),208,IF(AND(L200="Mittellos und stationär",D203&gt;8,D203&lt;=1000),62,IF(AND(L200="Mittellos und stationär",D203&gt;4,D203&lt;=8),87,IF(AND(L200="Mittellos und stationär",D203&gt;2,D203&lt;=4),124,IF(AND(L200="Mittellos und stationär",D203&gt;1,D203&lt;=2),129,IF(AND(L200="Mittellos und stationär",D203&gt;0,D203&lt;=1),194,""))))))))))))))))))))),IF(M199="Stufe B",IF(AND(L200="Auswahl treffen",D203&gt;=0,D203&lt;=1000),J199,IF(AND(L200="Vermögend und ambulant",D203&gt;8,D203&lt;=1000),161,IF(AND(L200="Vermögend und ambulant",D203&gt;4,D203&lt;=8),196,IF(AND(L200="Vermögend und ambulant",D203&gt;2,D203&lt;=4),238,IF(AND(L200="Vermögend und ambulant",D203&gt;1,D203&lt;=2),258,IF(AND(L200="Vermögend und ambulant",D203&gt;0,D203&lt;=1),370,IF(AND(L200="Vermögend und stationär",D203&gt;8,D203&lt;=1000),96,IF(AND(L200="Vermögend und stationär",D203&gt;4,D203&lt;=8),113,IF(AND(L200="Vermögend und stationär",D203&gt;2,D203&lt;=4),174,IF(AND(L200="Vermögend und stationär",D203&gt;1,D203&lt;=2),196,IF(AND(L200="Vermögend und stationär",D203&gt;0,D203&lt;=1),249,IF(AND(L200="Mittellos und ambulant",D203&gt;8,D203&lt;=1000),130,IF(AND(L200="Mittellos und ambulant",D203&gt;4,D203&lt;=8),151,IF(AND(L200="Mittellos und ambulant",D203&gt;2,D203&lt;=4),188,IF(AND(L200="Mittellos und ambulant",D203&gt;1,D203&lt;=2),211,IF(AND(L200="Mittellos und ambulant",D203&gt;0,D203&lt;=1),258,IF(AND(L200="Mittellos und stationär",D203&gt;8,D203&lt;=1000),78,IF(AND(L200="Mittellos und stationär",D203&gt;4,D203&lt;=8),107,IF(AND(L200="Mittellos und stationär",D203&gt;2,D203&lt;=4),154,IF(AND(L200="Mittellos und stationär",D203&gt;1,D203&lt;=2),158,IF(AND(L200="Mittellos und stationär",D203&gt;0,D203&lt;=1),241,""))))))))))))))))))))),IF(M199="Stufe C",IF(AND(L200="Auswahl treffen",D203&gt;=0,D203&lt;=1000),J199,IF(AND(L200="Vermögend und ambulant",D203&gt;8,D203&lt;=1000),211,IF(AND(L200="Vermögend und ambulant",D203&gt;4,D203&lt;=8),257,IF(AND(L200="Vermögend und ambulant",D203&gt;2,D203&lt;=4),312,IF(AND(L200="Vermögend und ambulant",D203&gt;1,D203&lt;=2),339,IF(AND(L200="Vermögend und ambulant",D203&gt;0,D203&lt;=1),486,IF(AND(L200="Vermögend und stationär",D203&gt;8,D203&lt;=1000),127,IF(AND(L200="Vermögend und stationär",D203&gt;4,D203&lt;=8),149,IF(AND(L200="Vermögend und stationär",D203&gt;2,D203&lt;=4),229,IF(AND(L200="Vermögend und stationär",D203&gt;1,D203&lt;=2),257,IF(AND(L200="Vermögend und stationär",D203&gt;0,D203&lt;=1),327,IF(AND(L200="Mittellos und ambulant",D203&gt;8,D203&lt;=1000),171,IF(AND(L200="Mittellos und ambulant",D203&gt;4,D203&lt;=8),198,IF(AND(L200="Mittellos und ambulant",D203&gt;2,D203&lt;=4),246,IF(AND(L200="Mittellos und ambulant",D203&gt;1,D203&lt;=2),277,IF(AND(L200="Mittellos und ambulant",D203&gt;0,D203&lt;=1),339,IF(AND(L200="Mittellos und stationär",D203&gt;8,D203&lt;=1000),102,IF(AND(L200="Mittellos und stationär",D203&gt;4,D203&lt;=8),141,IF(AND(L200="Mittellos und stationär",D203&gt;2,D203&lt;=4),202,IF(AND(L200="Mittellos und stationär",D203&gt;1,D203&lt;=2),208,IF(AND(L200="Mittellos und stationär",D203&gt;0,D203&lt;=1),317,""))))))))))))))))))))),"")))*3+(J199*90)</f>
        <v>#NUM!</v>
      </c>
      <c r="M204" s="507" t="str">
        <f>CONCATENATE(K204, K203)</f>
        <v>+Inflat.-P</v>
      </c>
      <c r="N204" s="216"/>
      <c r="O204" s="188" t="s">
        <v>118</v>
      </c>
      <c r="P204" s="188"/>
      <c r="Q204" s="221"/>
      <c r="R204" s="199"/>
      <c r="S204" s="190"/>
      <c r="T204" s="190"/>
      <c r="U204" s="191"/>
      <c r="V204" s="192"/>
      <c r="W204" s="222" t="s">
        <v>118</v>
      </c>
      <c r="X204" s="222" t="s">
        <v>117</v>
      </c>
      <c r="Y204" s="191" t="s">
        <v>26</v>
      </c>
      <c r="Z204" s="192"/>
      <c r="AA204" s="190"/>
      <c r="AB204" s="190"/>
      <c r="AC204" s="191"/>
      <c r="AD204" s="192"/>
      <c r="AE204" s="190"/>
      <c r="AF204" s="190"/>
      <c r="AG204" s="191"/>
      <c r="AH204" s="193"/>
      <c r="AI204" s="190"/>
      <c r="AJ204" s="190"/>
      <c r="AK204" s="374"/>
      <c r="AL204" s="348" t="s">
        <v>149</v>
      </c>
      <c r="AM204" s="354"/>
      <c r="AN204" s="354">
        <f>IF(SUM(O200:O208)=SUM(W200:W208), 0, SUM(O200:O208)-SUM(W200:W208))</f>
        <v>0</v>
      </c>
      <c r="AO204" s="354"/>
      <c r="AP204" s="354"/>
      <c r="AQ204" s="350">
        <f>AM204+AN204+AO204+AP204</f>
        <v>0</v>
      </c>
      <c r="AR204" s="769"/>
      <c r="AS204" s="769"/>
      <c r="AT204" s="769"/>
      <c r="AW204"/>
      <c r="AX204"/>
      <c r="AY204" s="280"/>
      <c r="AZ204"/>
      <c r="BA204"/>
      <c r="BB204"/>
      <c r="BC204"/>
      <c r="BD204"/>
      <c r="BE204"/>
      <c r="BF204"/>
      <c r="BG204" s="280"/>
      <c r="BH204"/>
      <c r="BI204"/>
      <c r="BJ204"/>
      <c r="BK204"/>
      <c r="BL204"/>
      <c r="BM204"/>
      <c r="BN204"/>
      <c r="BO204"/>
    </row>
    <row r="205" spans="1:67" ht="22.25" customHeight="1">
      <c r="A205" s="181">
        <f t="shared" si="78"/>
        <v>45292</v>
      </c>
      <c r="B205" s="484">
        <f>YEAR($A206)-1</f>
        <v>2023</v>
      </c>
      <c r="C205" s="489" t="s">
        <v>158</v>
      </c>
      <c r="D205" s="520" t="e">
        <f>D203+1</f>
        <v>#NUM!</v>
      </c>
      <c r="E205" s="194" t="e">
        <f>DATE(YEAR(E204),MONTH(E204),DAY(E204)+1)</f>
        <v>#NUM!</v>
      </c>
      <c r="F205" s="195" t="e">
        <f t="shared" si="79"/>
        <v>#NUM!</v>
      </c>
      <c r="G205" s="196" t="e">
        <f t="shared" si="80"/>
        <v>#NUM!</v>
      </c>
      <c r="H205" s="195" t="e">
        <f t="shared" si="81"/>
        <v>#NUM!</v>
      </c>
      <c r="I205" s="197">
        <f>IF(J207&lt;13,J207,"")</f>
        <v>9</v>
      </c>
      <c r="J205" s="224">
        <f>G200</f>
        <v>0</v>
      </c>
      <c r="K205" s="501" t="str">
        <f t="shared" si="62"/>
        <v/>
      </c>
      <c r="L205" s="471"/>
      <c r="M205" s="473" t="e">
        <f ca="1">SUM(J200-E206)&amp;" Tage"</f>
        <v>#NUM!</v>
      </c>
      <c r="N205" s="200"/>
      <c r="O205" s="201"/>
      <c r="P205" s="201"/>
      <c r="Q205" s="202"/>
      <c r="R205" s="189"/>
      <c r="S205" s="203"/>
      <c r="T205" s="203"/>
      <c r="U205" s="204"/>
      <c r="V205" s="192"/>
      <c r="W205" s="203"/>
      <c r="X205" s="203"/>
      <c r="Y205" s="204"/>
      <c r="Z205" s="192"/>
      <c r="AA205" s="203"/>
      <c r="AB205" s="203"/>
      <c r="AC205" s="204"/>
      <c r="AD205" s="192"/>
      <c r="AE205" s="203"/>
      <c r="AF205" s="203"/>
      <c r="AG205" s="204"/>
      <c r="AH205" s="193"/>
      <c r="AI205" s="203"/>
      <c r="AJ205" s="203"/>
      <c r="AK205" s="375"/>
      <c r="AL205" s="348"/>
      <c r="AM205" s="354"/>
      <c r="AN205" s="354"/>
      <c r="AO205" s="354"/>
      <c r="AP205" s="354"/>
      <c r="AQ205" s="350"/>
      <c r="AR205" s="769"/>
      <c r="AS205" s="769"/>
      <c r="AT205" s="769"/>
      <c r="AW205"/>
      <c r="AX205"/>
      <c r="AY205" s="280"/>
      <c r="AZ205"/>
      <c r="BA205"/>
      <c r="BB205"/>
      <c r="BC205"/>
      <c r="BD205"/>
      <c r="BE205"/>
      <c r="BF205"/>
      <c r="BG205" s="280"/>
      <c r="BH205"/>
      <c r="BI205"/>
      <c r="BJ205"/>
      <c r="BK205"/>
      <c r="BL205"/>
      <c r="BM205"/>
      <c r="BN205"/>
      <c r="BO205"/>
    </row>
    <row r="206" spans="1:67" ht="22.25" customHeight="1">
      <c r="A206" s="181">
        <f t="shared" si="78"/>
        <v>45292</v>
      </c>
      <c r="B206" s="485"/>
      <c r="C206" s="490"/>
      <c r="D206" s="521"/>
      <c r="E206" s="194" t="e">
        <f>DATE(YEAR(E205),MONTH(E205)+3,DAY(E205)-1)</f>
        <v>#NUM!</v>
      </c>
      <c r="F206" s="195" t="e">
        <f t="shared" si="79"/>
        <v>#NUM!</v>
      </c>
      <c r="G206" s="196" t="e">
        <f t="shared" si="80"/>
        <v>#NUM!</v>
      </c>
      <c r="H206" s="195" t="e">
        <f t="shared" si="81"/>
        <v>#NUM!</v>
      </c>
      <c r="I206" s="244">
        <f>IF(J208&lt;13,J208,"")</f>
        <v>6</v>
      </c>
      <c r="J206" s="224">
        <f>J205+3</f>
        <v>3</v>
      </c>
      <c r="K206" s="506" t="str">
        <f t="shared" ref="K206:K269" si="82">K204</f>
        <v>+Inflat.-P</v>
      </c>
      <c r="L206" s="511" t="e">
        <f>IF(M199="Stufe A",IF(AND(L200="Auswahl treffen",D205&gt;=0,D205&lt;=1000),J199,IF(AND(L200="Vermögend und ambulant",D205&gt;8,D205&lt;=1000),130,IF(AND(L200="Vermögend und ambulant",D205&gt;4,D205&lt;=8),158,IF(AND(L200="Vermögend und ambulant",D205&gt;2,D205&lt;=4),192,IF(AND(L200="Vermögend und ambulant",D205&gt;1,D205&lt;=2),208,IF(AND(L200="Vermögend und ambulant",D205&gt;0,D205&lt;=1),298,IF(AND(L200="Vermögend und stationär",D205&gt;8,D205&lt;=1000),78,IF(AND(L200="Vermögend und stationär",D205&gt;4,D205&lt;=8),91,IF(AND(L200="Vermögend und stationär",D205&gt;2,D205&lt;=4),140,IF(AND(L200="Vermögend und stationär",D205&gt;1,D205&lt;=2),158,IF(AND(L200="Vermögend und stationär",D205&gt;0,D205&lt;=1),200,IF(AND(L200="Mittellos und ambulant",D205&gt;8,D205&lt;=1000),105,IF(AND(L200="Mittellos und ambulant",D205&gt;4,D205&lt;=8),122,IF(AND(L200="Mittellos und ambulant",D205&gt;2,D205&lt;=4),151,IF(AND(L200="Mittellos und ambulant",D205&gt;1,D205&lt;=2),170,IF(AND(L200="Mittellos und ambulant",D205&gt;0,D205&lt;=1),208,IF(AND(L200="Mittellos und stationär",D205&gt;8,D205&lt;=1000),62,IF(AND(L200="Mittellos und stationär",D205&gt;4,D205&lt;=8),87,IF(AND(L200="Mittellos und stationär",D205&gt;2,D205&lt;=4),124,IF(AND(L200="Mittellos und stationär",D205&gt;1,D205&lt;=2),129,IF(AND(L200="Mittellos und stationär",D205&gt;0,D205&lt;=1),194,""))))))))))))))))))))),IF(M199="Stufe B",IF(AND(L200="Auswahl treffen",D205&gt;=0,D205&lt;=1000),J199,IF(AND(L200="Vermögend und ambulant",D205&gt;8,D205&lt;=1000),161,IF(AND(L200="Vermögend und ambulant",D205&gt;4,D205&lt;=8),196,IF(AND(L200="Vermögend und ambulant",D205&gt;2,D205&lt;=4),238,IF(AND(L200="Vermögend und ambulant",D205&gt;1,D205&lt;=2),258,IF(AND(L200="Vermögend und ambulant",D205&gt;0,D205&lt;=1),370,IF(AND(L200="Vermögend und stationär",D205&gt;8,D205&lt;=1000),96,IF(AND(L200="Vermögend und stationär",D205&gt;4,D205&lt;=8),113,IF(AND(L200="Vermögend und stationär",D205&gt;2,D205&lt;=4),174,IF(AND(L200="Vermögend und stationär",D205&gt;1,D205&lt;=2),196,IF(AND(L200="Vermögend und stationär",D205&gt;0,D205&lt;=1),249,IF(AND(L200="Mittellos und ambulant",D205&gt;8,D205&lt;=1000),130,IF(AND(L200="Mittellos und ambulant",D205&gt;4,D205&lt;=8),151,IF(AND(L200="Mittellos und ambulant",D205&gt;2,D205&lt;=4),188,IF(AND(L200="Mittellos und ambulant",D205&gt;1,D205&lt;=2),211,IF(AND(L200="Mittellos und ambulant",D205&gt;0,D205&lt;=1),258,IF(AND(L200="Mittellos und stationär",D205&gt;8,D205&lt;=1000),78,IF(AND(L200="Mittellos und stationär",D205&gt;4,D205&lt;=8),107,IF(AND(L200="Mittellos und stationär",D205&gt;2,D205&lt;=4),154,IF(AND(L200="Mittellos und stationär",D205&gt;1,D205&lt;=2),158,IF(AND(L200="Mittellos und stationär",D205&gt;0,D205&lt;=1),241,""))))))))))))))))))))),IF(M199="Stufe C",IF(AND(L200="Auswahl treffen",D205&gt;=0,D205&lt;=1000),J199,IF(AND(L200="Vermögend und ambulant",D205&gt;8,D205&lt;=1000),211,IF(AND(L200="Vermögend und ambulant",D205&gt;4,D205&lt;=8),257,IF(AND(L200="Vermögend und ambulant",D205&gt;2,D205&lt;=4),312,IF(AND(L200="Vermögend und ambulant",D205&gt;1,D205&lt;=2),339,IF(AND(L200="Vermögend und ambulant",D205&gt;0,D205&lt;=1),486,IF(AND(L200="Vermögend und stationär",D205&gt;8,D205&lt;=1000),127,IF(AND(L200="Vermögend und stationär",D205&gt;4,D205&lt;=8),149,IF(AND(L200="Vermögend und stationär",D205&gt;2,D205&lt;=4),229,IF(AND(L200="Vermögend und stationär",D205&gt;1,D205&lt;=2),257,IF(AND(L200="Vermögend und stationär",D205&gt;0,D205&lt;=1),327,IF(AND(L200="Mittellos und ambulant",D205&gt;8,D205&lt;=1000),171,IF(AND(L200="Mittellos und ambulant",D205&gt;4,D205&lt;=8),198,IF(AND(L200="Mittellos und ambulant",D205&gt;2,D205&lt;=4),246,IF(AND(L200="Mittellos und ambulant",D205&gt;1,D205&lt;=2),277,IF(AND(L200="Mittellos und ambulant",D205&gt;0,D205&lt;=1),339,IF(AND(L200="Mittellos und stationär",D205&gt;8,D205&lt;=1000),102,IF(AND(L200="Mittellos und stationär",D205&gt;4,D205&lt;=8),141,IF(AND(L200="Mittellos und stationär",D205&gt;2,D205&lt;=4),202,IF(AND(L200="Mittellos und stationär",D205&gt;1,D205&lt;=2),208,IF(AND(L200="Mittellos und stationär",D205&gt;0,D205&lt;=1),317,""))))))))))))))))))))),"")))*3+(J199*90)</f>
        <v>#NUM!</v>
      </c>
      <c r="M206" s="507" t="str">
        <f>CONCATENATE(K206, K205)</f>
        <v>+Inflat.-P</v>
      </c>
      <c r="N206" s="206"/>
      <c r="O206" s="207"/>
      <c r="P206" s="206" t="s">
        <v>118</v>
      </c>
      <c r="Q206" s="226"/>
      <c r="R206" s="189"/>
      <c r="S206" s="203"/>
      <c r="T206" s="203"/>
      <c r="U206" s="204"/>
      <c r="V206" s="192"/>
      <c r="W206" s="203"/>
      <c r="X206" s="203"/>
      <c r="Y206" s="204"/>
      <c r="Z206" s="192"/>
      <c r="AA206" s="209" t="s">
        <v>118</v>
      </c>
      <c r="AB206" s="209" t="s">
        <v>117</v>
      </c>
      <c r="AC206" s="204" t="s">
        <v>26</v>
      </c>
      <c r="AD206" s="192"/>
      <c r="AE206" s="203"/>
      <c r="AF206" s="203"/>
      <c r="AG206" s="204"/>
      <c r="AH206" s="193"/>
      <c r="AI206" s="203"/>
      <c r="AJ206" s="203"/>
      <c r="AK206" s="375"/>
      <c r="AL206" s="348" t="s">
        <v>150</v>
      </c>
      <c r="AM206" s="354"/>
      <c r="AN206" s="354"/>
      <c r="AO206" s="354">
        <f>IF(SUM(P200:P208)=SUM(AA200:AA208), 0, SUM(P200:P208)-SUM(AA200:AA208))</f>
        <v>0</v>
      </c>
      <c r="AP206" s="354"/>
      <c r="AQ206" s="350">
        <f>AM206+AN206+AO206+AP206</f>
        <v>0</v>
      </c>
      <c r="AR206" s="769"/>
      <c r="AS206" s="769"/>
      <c r="AT206" s="769"/>
      <c r="AW206"/>
      <c r="AX206"/>
      <c r="AY206" s="280"/>
      <c r="AZ206"/>
      <c r="BA206"/>
      <c r="BB206"/>
      <c r="BC206"/>
      <c r="BD206"/>
      <c r="BE206"/>
      <c r="BF206"/>
      <c r="BG206" s="280"/>
      <c r="BH206"/>
      <c r="BI206"/>
      <c r="BJ206"/>
      <c r="BK206"/>
      <c r="BL206"/>
      <c r="BM206"/>
      <c r="BN206"/>
      <c r="BO206"/>
    </row>
    <row r="207" spans="1:67" ht="22.25" customHeight="1">
      <c r="A207" s="181">
        <f t="shared" si="78"/>
        <v>45292</v>
      </c>
      <c r="B207" s="486"/>
      <c r="C207" s="489" t="s">
        <v>158</v>
      </c>
      <c r="D207" s="522" t="e">
        <f>D205+1</f>
        <v>#NUM!</v>
      </c>
      <c r="E207" s="211" t="e">
        <f>DATE(YEAR(E206),MONTH(E206),DAY(E206)+1)</f>
        <v>#NUM!</v>
      </c>
      <c r="F207" s="227" t="e">
        <f t="shared" si="79"/>
        <v>#NUM!</v>
      </c>
      <c r="G207" s="228" t="e">
        <f t="shared" si="80"/>
        <v>#NUM!</v>
      </c>
      <c r="H207" s="227" t="e">
        <f t="shared" si="81"/>
        <v>#NUM!</v>
      </c>
      <c r="I207" s="231">
        <f>IF(J206&lt;13,J206,"")</f>
        <v>3</v>
      </c>
      <c r="J207" s="230">
        <f>J208+3</f>
        <v>9</v>
      </c>
      <c r="K207" s="501" t="str">
        <f t="shared" si="82"/>
        <v/>
      </c>
      <c r="L207" s="471"/>
      <c r="M207" s="473" t="e">
        <f ca="1">SUM(J200-E208)&amp;" Tage"</f>
        <v>#NUM!</v>
      </c>
      <c r="N207" s="216"/>
      <c r="O207" s="188"/>
      <c r="P207" s="188"/>
      <c r="Q207" s="217"/>
      <c r="R207" s="189"/>
      <c r="S207" s="190"/>
      <c r="T207" s="190"/>
      <c r="U207" s="191"/>
      <c r="V207" s="192"/>
      <c r="W207" s="190"/>
      <c r="X207" s="190"/>
      <c r="Y207" s="191"/>
      <c r="Z207" s="192"/>
      <c r="AA207" s="190"/>
      <c r="AB207" s="190"/>
      <c r="AC207" s="191"/>
      <c r="AD207" s="192"/>
      <c r="AE207" s="190"/>
      <c r="AF207" s="190"/>
      <c r="AG207" s="191"/>
      <c r="AH207" s="193"/>
      <c r="AI207" s="190"/>
      <c r="AJ207" s="190"/>
      <c r="AK207" s="374"/>
      <c r="AL207" s="348"/>
      <c r="AM207" s="354"/>
      <c r="AN207" s="354"/>
      <c r="AO207" s="354"/>
      <c r="AP207" s="354"/>
      <c r="AQ207" s="350"/>
      <c r="AR207" s="769"/>
      <c r="AS207" s="769"/>
      <c r="AT207" s="769"/>
      <c r="AW207"/>
      <c r="AX207"/>
      <c r="AY207" s="280"/>
      <c r="AZ207"/>
      <c r="BA207"/>
      <c r="BB207"/>
      <c r="BC207"/>
      <c r="BD207"/>
      <c r="BE207"/>
      <c r="BF207"/>
      <c r="BG207" s="280"/>
      <c r="BH207"/>
      <c r="BI207"/>
      <c r="BJ207"/>
      <c r="BK207"/>
      <c r="BL207"/>
      <c r="BM207"/>
      <c r="BN207"/>
      <c r="BO207"/>
    </row>
    <row r="208" spans="1:67" ht="22.25" customHeight="1">
      <c r="A208" s="181">
        <f t="shared" si="78"/>
        <v>45292</v>
      </c>
      <c r="B208" s="485"/>
      <c r="C208" s="490"/>
      <c r="D208" s="521"/>
      <c r="E208" s="218" t="e">
        <f>DATE(YEAR(E207),MONTH(E207)+3,DAY(E207)-1)</f>
        <v>#NUM!</v>
      </c>
      <c r="F208" s="227" t="e">
        <f t="shared" si="79"/>
        <v>#NUM!</v>
      </c>
      <c r="G208" s="228" t="e">
        <f t="shared" si="80"/>
        <v>#NUM!</v>
      </c>
      <c r="H208" s="227" t="e">
        <f t="shared" si="81"/>
        <v>#NUM!</v>
      </c>
      <c r="I208" s="231">
        <f>IF(J205&lt;13,J205,"")</f>
        <v>0</v>
      </c>
      <c r="J208" s="230">
        <f>J206+3</f>
        <v>6</v>
      </c>
      <c r="K208" s="501" t="str">
        <f t="shared" si="82"/>
        <v>+Inflat.-P</v>
      </c>
      <c r="L208" s="508" t="e">
        <f>IF(M199="Stufe A",IF(AND(L200="Auswahl treffen",D207&gt;=0,D207&lt;=1000),J199,IF(AND(L200="Vermögend und ambulant",D207&gt;8,D207&lt;=1000),130,IF(AND(L200="Vermögend und ambulant",D207&gt;4,D207&lt;=8),158,IF(AND(L200="Vermögend und ambulant",D207&gt;2,D207&lt;=4),192,IF(AND(L200="Vermögend und ambulant",D207&gt;1,D207&lt;=2),208,IF(AND(L200="Vermögend und ambulant",D207&gt;0,D207&lt;=1),298,IF(AND(L200="Vermögend und stationär",D207&gt;8,D207&lt;=1000),78,IF(AND(L200="Vermögend und stationär",D207&gt;4,D207&lt;=8),91,IF(AND(L200="Vermögend und stationär",D207&gt;2,D207&lt;=4),140,IF(AND(L200="Vermögend und stationär",D207&gt;1,D207&lt;=2),158,IF(AND(L200="Vermögend und stationär",D207&gt;0,D207&lt;=1),200,IF(AND(L200="Mittellos und ambulant",D207&gt;8,D207&lt;=1000),105,IF(AND(L200="Mittellos und ambulant",D207&gt;4,D207&lt;=8),122,IF(AND(L200="Mittellos und ambulant",D207&gt;2,D207&lt;=4),151,IF(AND(L200="Mittellos und ambulant",D207&gt;1,D207&lt;=2),170,IF(AND(L200="Mittellos und ambulant",D207&gt;0,D207&lt;=1),208,IF(AND(L200="Mittellos und stationär",D207&gt;8,D207&lt;=1000),62,IF(AND(L200="Mittellos und stationär",D207&gt;4,D207&lt;=8),87,IF(AND(L200="Mittellos und stationär",D207&gt;2,D207&lt;=4),124,IF(AND(L200="Mittellos und stationär",D207&gt;1,D207&lt;=2),129,IF(AND(L200="Mittellos und stationär",D207&gt;0,D207&lt;=1),194,""))))))))))))))))))))),IF(M199="Stufe B",IF(AND(L200="Auswahl treffen",D207&gt;=0,D207&lt;=1000),J199,IF(AND(L200="Vermögend und ambulant",D207&gt;8,D207&lt;=1000),161,IF(AND(L200="Vermögend und ambulant",D207&gt;4,D207&lt;=8),196,IF(AND(L200="Vermögend und ambulant",D207&gt;2,D207&lt;=4),238,IF(AND(L200="Vermögend und ambulant",D207&gt;1,D207&lt;=2),258,IF(AND(L200="Vermögend und ambulant",D207&gt;0,D207&lt;=1),370,IF(AND(L200="Vermögend und stationär",D207&gt;8,D207&lt;=1000),96,IF(AND(L200="Vermögend und stationär",D207&gt;4,D207&lt;=8),113,IF(AND(L200="Vermögend und stationär",D207&gt;2,D207&lt;=4),174,IF(AND(L200="Vermögend und stationär",D207&gt;1,D207&lt;=2),196,IF(AND(L200="Vermögend und stationär",D207&gt;0,D207&lt;=1),249,IF(AND(L200="Mittellos und ambulant",D207&gt;8,D207&lt;=1000),130,IF(AND(L200="Mittellos und ambulant",D207&gt;4,D207&lt;=8),151,IF(AND(L200="Mittellos und ambulant",D207&gt;2,D207&lt;=4),188,IF(AND(L200="Mittellos und ambulant",D207&gt;1,D207&lt;=2),211,IF(AND(L200="Mittellos und ambulant",D207&gt;0,D207&lt;=1),258,IF(AND(L200="Mittellos und stationär",D207&gt;8,D207&lt;=1000),78,IF(AND(L200="Mittellos und stationär",D207&gt;4,D207&lt;=8),107,IF(AND(L200="Mittellos und stationär",D207&gt;2,D207&lt;=4),154,IF(AND(L200="Mittellos und stationär",D207&gt;1,D207&lt;=2),158,IF(AND(L200="Mittellos und stationär",D207&gt;0,D207&lt;=1),241,""))))))))))))))))))))),IF(M199="Stufe C",IF(AND(L200="Auswahl treffen",D207&gt;=0,D207&lt;=1000),J199,IF(AND(L200="Vermögend und ambulant",D207&gt;8,D207&lt;=1000),211,IF(AND(L200="Vermögend und ambulant",D207&gt;4,D207&lt;=8),257,IF(AND(L200="Vermögend und ambulant",D207&gt;2,D207&lt;=4),312,IF(AND(L200="Vermögend und ambulant",D207&gt;1,D207&lt;=2),339,IF(AND(L200="Vermögend und ambulant",D207&gt;0,D207&lt;=1),486,IF(AND(L200="Vermögend und stationär",D207&gt;8,D207&lt;=1000),127,IF(AND(L200="Vermögend und stationär",D207&gt;4,D207&lt;=8),149,IF(AND(L200="Vermögend und stationär",D207&gt;2,D207&lt;=4),229,IF(AND(L200="Vermögend und stationär",D207&gt;1,D207&lt;=2),257,IF(AND(L200="Vermögend und stationär",D207&gt;0,D207&lt;=1),327,IF(AND(L200="Mittellos und ambulant",D207&gt;8,D207&lt;=1000),171,IF(AND(L200="Mittellos und ambulant",D207&gt;4,D207&lt;=8),198,IF(AND(L200="Mittellos und ambulant",D207&gt;2,D207&lt;=4),246,IF(AND(L200="Mittellos und ambulant",D207&gt;1,D207&lt;=2),277,IF(AND(L200="Mittellos und ambulant",D207&gt;0,D207&lt;=1),339,IF(AND(L200="Mittellos und stationär",D207&gt;8,D207&lt;=1000),102,IF(AND(L200="Mittellos und stationär",D207&gt;4,D207&lt;=8),141,IF(AND(L200="Mittellos und stationär",D207&gt;2,D207&lt;=4),202,IF(AND(L200="Mittellos und stationär",D207&gt;1,D207&lt;=2),208,IF(AND(L200="Mittellos und stationär",D207&gt;0,D207&lt;=1),317,""))))))))))))))))))))),"")))*3+(J199*90)</f>
        <v>#NUM!</v>
      </c>
      <c r="M208" s="507" t="str">
        <f>CONCATENATE(K208, K207)</f>
        <v>+Inflat.-P</v>
      </c>
      <c r="N208" s="216"/>
      <c r="O208" s="188"/>
      <c r="P208" s="188"/>
      <c r="Q208" s="217" t="s">
        <v>118</v>
      </c>
      <c r="R208" s="189"/>
      <c r="S208" s="190"/>
      <c r="T208" s="190"/>
      <c r="U208" s="191"/>
      <c r="V208" s="192"/>
      <c r="W208" s="190"/>
      <c r="X208" s="190"/>
      <c r="Y208" s="191"/>
      <c r="Z208" s="192"/>
      <c r="AA208" s="190"/>
      <c r="AB208" s="190"/>
      <c r="AC208" s="191"/>
      <c r="AD208" s="192"/>
      <c r="AE208" s="190" t="s">
        <v>118</v>
      </c>
      <c r="AF208" s="190" t="s">
        <v>117</v>
      </c>
      <c r="AG208" s="191" t="s">
        <v>26</v>
      </c>
      <c r="AH208" s="193"/>
      <c r="AI208" s="190" t="s">
        <v>118</v>
      </c>
      <c r="AJ208" s="190" t="s">
        <v>117</v>
      </c>
      <c r="AK208" s="374" t="s">
        <v>26</v>
      </c>
      <c r="AL208" s="348" t="s">
        <v>151</v>
      </c>
      <c r="AM208" s="354"/>
      <c r="AN208" s="354"/>
      <c r="AO208" s="354"/>
      <c r="AP208" s="354">
        <f>IF(SUM(Q200:Q208)=SUM(AE200:AE208,AI200:AI208), 0, SUM(Q200:Q208)-SUM(AE200:AE208,AI200:AI208))</f>
        <v>0</v>
      </c>
      <c r="AQ208" s="350">
        <f>AM208+AN208+AO208+AP208</f>
        <v>0</v>
      </c>
      <c r="AR208" s="769"/>
      <c r="AS208" s="769"/>
      <c r="AT208" s="769"/>
      <c r="AW208"/>
      <c r="AX208"/>
      <c r="AY208" s="280"/>
      <c r="AZ208"/>
      <c r="BA208"/>
      <c r="BB208"/>
      <c r="BC208"/>
      <c r="BD208"/>
      <c r="BE208"/>
      <c r="BF208"/>
      <c r="BG208" s="280"/>
      <c r="BH208"/>
      <c r="BI208"/>
      <c r="BJ208"/>
      <c r="BK208"/>
      <c r="BL208"/>
      <c r="BM208"/>
      <c r="BN208"/>
      <c r="BO208"/>
    </row>
    <row r="209" spans="1:67" ht="22" customHeight="1">
      <c r="A209" s="181">
        <f t="shared" si="78"/>
        <v>45292</v>
      </c>
      <c r="B209" s="232" t="s">
        <v>74</v>
      </c>
      <c r="C209" s="233" t="s">
        <v>75</v>
      </c>
      <c r="D209" s="234" t="s">
        <v>76</v>
      </c>
      <c r="E209" s="235" t="s">
        <v>11</v>
      </c>
      <c r="F209" s="235" t="s">
        <v>4</v>
      </c>
      <c r="G209" s="235" t="s">
        <v>5</v>
      </c>
      <c r="H209" s="235" t="s">
        <v>6</v>
      </c>
      <c r="I209" s="236" t="s">
        <v>77</v>
      </c>
      <c r="J209" s="306"/>
      <c r="K209" s="506" t="str">
        <f t="shared" si="82"/>
        <v/>
      </c>
      <c r="L209" s="306" t="str">
        <f>IFERROR(VLOOKUP(B210,'Aktuelle Einnahmen'!A2:J104,10,0),"")</f>
        <v/>
      </c>
      <c r="M209" s="510" t="str">
        <f>M199</f>
        <v>Stufe C</v>
      </c>
      <c r="N209" s="237"/>
      <c r="O209" s="238"/>
      <c r="P209" s="238"/>
      <c r="Q209" s="239"/>
      <c r="R209" s="240"/>
      <c r="S209" s="241"/>
      <c r="T209" s="241"/>
      <c r="U209" s="242"/>
      <c r="V209" s="243"/>
      <c r="W209" s="241"/>
      <c r="X209" s="241"/>
      <c r="Y209" s="242"/>
      <c r="Z209" s="243"/>
      <c r="AA209" s="241"/>
      <c r="AB209" s="241"/>
      <c r="AC209" s="242"/>
      <c r="AD209" s="243"/>
      <c r="AE209" s="241"/>
      <c r="AF209" s="241"/>
      <c r="AG209" s="242"/>
      <c r="AH209" s="240"/>
      <c r="AI209" s="241"/>
      <c r="AJ209" s="241"/>
      <c r="AK209" s="377"/>
      <c r="AL209" s="347"/>
      <c r="AM209" s="353"/>
      <c r="AN209" s="353"/>
      <c r="AO209" s="353"/>
      <c r="AP209" s="353"/>
      <c r="AQ209" s="349"/>
      <c r="AR209" s="768"/>
      <c r="AS209" s="768"/>
      <c r="AT209" s="768"/>
      <c r="AW209"/>
      <c r="AX209"/>
      <c r="AY209" s="280"/>
      <c r="AZ209"/>
      <c r="BA209"/>
      <c r="BB209"/>
      <c r="BC209"/>
      <c r="BD209"/>
      <c r="BE209"/>
      <c r="BF209"/>
      <c r="BG209" s="280"/>
      <c r="BH209"/>
      <c r="BI209"/>
      <c r="BJ209"/>
      <c r="BK209"/>
      <c r="BL209"/>
      <c r="BM209"/>
      <c r="BN209"/>
      <c r="BO209"/>
    </row>
    <row r="210" spans="1:67" ht="23" customHeight="1">
      <c r="A210" s="181">
        <f t="shared" si="78"/>
        <v>45292</v>
      </c>
      <c r="B210" s="182">
        <v>21</v>
      </c>
      <c r="C210" s="245">
        <f>IFERROR(VLOOKUP($B210,'Aktuelle Einnahmen'!A2:G104,3,0),"")</f>
        <v>0</v>
      </c>
      <c r="D210" s="246">
        <f>IFERROR(VLOOKUP($B210,'Aktuelle Einnahmen'!A2:G104,2,0),"")</f>
        <v>0</v>
      </c>
      <c r="E210" s="247">
        <f>IFERROR(VLOOKUP($B210,'Aktuelle Einnahmen'!A2:G104,4,0),"")</f>
        <v>0</v>
      </c>
      <c r="F210" s="94">
        <f>IFERROR(VLOOKUP($B210,'Aktuelle Einnahmen'!A2:G104,5,0),"")</f>
        <v>0</v>
      </c>
      <c r="G210" s="94">
        <f>IFERROR(VLOOKUP($B210,'Aktuelle Einnahmen'!A2:G104,6,0),"")</f>
        <v>0</v>
      </c>
      <c r="H210" s="94">
        <f>IFERROR(VLOOKUP($B210,'Aktuelle Einnahmen'!A2:G104,7,0),"")</f>
        <v>0</v>
      </c>
      <c r="I210" s="186" t="e">
        <f>DATE(H210,G210,F210)</f>
        <v>#NUM!</v>
      </c>
      <c r="J210" s="472">
        <f ca="1">J200</f>
        <v>45475</v>
      </c>
      <c r="K210" s="501" t="str">
        <f t="shared" si="82"/>
        <v>+Inflat.-P</v>
      </c>
      <c r="L210" s="1262" t="str">
        <f>IFERROR(VLOOKUP(B210,'Aktuelle Einnahmen'!A12:I114,9,0),"")</f>
        <v>Auswahl treffen</v>
      </c>
      <c r="M210" s="1263"/>
      <c r="N210" s="261"/>
      <c r="O210" s="261"/>
      <c r="P210" s="261"/>
      <c r="Q210" s="261"/>
      <c r="R210" s="189"/>
      <c r="S210" s="190"/>
      <c r="T210" s="190"/>
      <c r="U210" s="191"/>
      <c r="V210" s="192"/>
      <c r="W210" s="190"/>
      <c r="X210" s="190"/>
      <c r="Y210" s="191"/>
      <c r="Z210" s="192"/>
      <c r="AA210" s="190"/>
      <c r="AB210" s="190"/>
      <c r="AC210" s="191"/>
      <c r="AD210" s="192"/>
      <c r="AE210" s="190"/>
      <c r="AF210" s="190"/>
      <c r="AG210" s="191"/>
      <c r="AH210" s="193"/>
      <c r="AI210" s="190"/>
      <c r="AJ210" s="190"/>
      <c r="AK210" s="374"/>
      <c r="AL210" s="348"/>
      <c r="AM210" s="354"/>
      <c r="AN210" s="354"/>
      <c r="AO210" s="354"/>
      <c r="AP210" s="354"/>
      <c r="AQ210" s="350"/>
      <c r="AR210" s="769"/>
      <c r="AS210" s="769"/>
      <c r="AT210" s="769"/>
      <c r="AW210"/>
      <c r="AX210"/>
      <c r="AY210" s="280"/>
      <c r="AZ210"/>
      <c r="BA210"/>
      <c r="BB210"/>
      <c r="BC210"/>
      <c r="BD210"/>
      <c r="BE210"/>
      <c r="BF210"/>
      <c r="BG210" s="280"/>
      <c r="BH210"/>
      <c r="BI210"/>
      <c r="BJ210"/>
      <c r="BK210"/>
      <c r="BL210"/>
      <c r="BM210"/>
      <c r="BN210"/>
      <c r="BO210"/>
    </row>
    <row r="211" spans="1:67" ht="22.25" customHeight="1">
      <c r="A211" s="181">
        <f t="shared" si="78"/>
        <v>45292</v>
      </c>
      <c r="B211" s="484" t="e">
        <f>DAY(I210)</f>
        <v>#NUM!</v>
      </c>
      <c r="C211" s="489" t="s">
        <v>158</v>
      </c>
      <c r="D211" s="520" t="e">
        <f>(I211*4)+J211/3+1</f>
        <v>#NUM!</v>
      </c>
      <c r="E211" s="194" t="e">
        <f>J213+1</f>
        <v>#NUM!</v>
      </c>
      <c r="F211" s="195" t="e">
        <f t="shared" ref="F211:F218" si="83">DAY(E211)</f>
        <v>#NUM!</v>
      </c>
      <c r="G211" s="196" t="e">
        <f t="shared" ref="G211:G218" si="84">MONTH(E211)</f>
        <v>#NUM!</v>
      </c>
      <c r="H211" s="195" t="e">
        <f t="shared" ref="H211:H218" si="85">YEAR(E211)</f>
        <v>#NUM!</v>
      </c>
      <c r="I211" s="197" t="e">
        <f>H211-(H210+2000)</f>
        <v>#NUM!</v>
      </c>
      <c r="J211" s="198" t="e">
        <f>G211-G210</f>
        <v>#NUM!</v>
      </c>
      <c r="K211" s="506" t="str">
        <f>L209</f>
        <v/>
      </c>
      <c r="L211" s="469"/>
      <c r="M211" s="473" t="e">
        <f ca="1">SUM(J210-E212)&amp;" Tage"</f>
        <v>#NUM!</v>
      </c>
      <c r="N211" s="206"/>
      <c r="O211" s="201"/>
      <c r="P211" s="201"/>
      <c r="Q211" s="202"/>
      <c r="R211" s="189"/>
      <c r="S211" s="203"/>
      <c r="T211" s="203"/>
      <c r="U211" s="204"/>
      <c r="V211" s="192"/>
      <c r="W211" s="203"/>
      <c r="X211" s="203"/>
      <c r="Y211" s="204"/>
      <c r="Z211" s="192"/>
      <c r="AA211" s="203"/>
      <c r="AB211" s="203"/>
      <c r="AC211" s="204"/>
      <c r="AD211" s="192"/>
      <c r="AE211" s="203"/>
      <c r="AF211" s="203"/>
      <c r="AG211" s="204"/>
      <c r="AH211" s="193"/>
      <c r="AI211" s="203"/>
      <c r="AJ211" s="203"/>
      <c r="AK211" s="375"/>
      <c r="AL211" s="348"/>
      <c r="AM211" s="354"/>
      <c r="AN211" s="354"/>
      <c r="AO211" s="354"/>
      <c r="AP211" s="354"/>
      <c r="AQ211" s="350"/>
      <c r="AR211" s="769"/>
      <c r="AS211" s="769"/>
      <c r="AT211" s="769"/>
      <c r="AW211"/>
      <c r="AX211"/>
      <c r="AY211" s="280"/>
      <c r="AZ211"/>
      <c r="BA211"/>
      <c r="BB211"/>
      <c r="BC211"/>
      <c r="BD211"/>
      <c r="BE211"/>
      <c r="BF211"/>
      <c r="BG211" s="280"/>
      <c r="BH211"/>
      <c r="BI211"/>
      <c r="BJ211"/>
      <c r="BK211"/>
      <c r="BL211"/>
      <c r="BM211"/>
      <c r="BN211"/>
      <c r="BO211"/>
    </row>
    <row r="212" spans="1:67" ht="22.25" customHeight="1">
      <c r="A212" s="181">
        <f t="shared" si="78"/>
        <v>45292</v>
      </c>
      <c r="B212" s="485"/>
      <c r="C212" s="490"/>
      <c r="D212" s="521"/>
      <c r="E212" s="194" t="e">
        <f>DATE(YEAR(E211),MONTH(E211)+3,DAY(E211)-1)</f>
        <v>#NUM!</v>
      </c>
      <c r="F212" s="195" t="e">
        <f t="shared" si="83"/>
        <v>#NUM!</v>
      </c>
      <c r="G212" s="196" t="e">
        <f t="shared" si="84"/>
        <v>#NUM!</v>
      </c>
      <c r="H212" s="195" t="e">
        <f t="shared" si="85"/>
        <v>#NUM!</v>
      </c>
      <c r="I212" s="244">
        <v>-1</v>
      </c>
      <c r="J212" s="198" t="e">
        <f>F211-F210</f>
        <v>#NUM!</v>
      </c>
      <c r="K212" s="501" t="str">
        <f t="shared" si="82"/>
        <v>+Inflat.-P</v>
      </c>
      <c r="L212" s="511" t="e">
        <f>IF(M209="Stufe A",IF(AND(L210="Auswahl treffen",D211&gt;=0,D211&lt;=1000),J209,IF(AND(L210="Vermögend und ambulant",D211&gt;8,D211&lt;=1000),130,IF(AND(L210="Vermögend und ambulant",D211&gt;4,D211&lt;=8),158,IF(AND(L210="Vermögend und ambulant",D211&gt;2,D211&lt;=4),192,IF(AND(L210="Vermögend und ambulant",D211&gt;1,D211&lt;=2),208,IF(AND(L210="Vermögend und ambulant",D211&gt;0,D211&lt;=1),298,IF(AND(L210="Vermögend und stationär",D211&gt;8,D211&lt;=1000),78,IF(AND(L210="Vermögend und stationär",D211&gt;4,D211&lt;=8),91,IF(AND(L210="Vermögend und stationär",D211&gt;2,D211&lt;=4),140,IF(AND(L210="Vermögend und stationär",D211&gt;1,D211&lt;=2),158,IF(AND(L210="Vermögend und stationär",D211&gt;0,D211&lt;=1),200,IF(AND(L210="Mittellos und ambulant",D211&gt;8,D211&lt;=1000),105,IF(AND(L210="Mittellos und ambulant",D211&gt;4,D211&lt;=8),122,IF(AND(L210="Mittellos und ambulant",D211&gt;2,D211&lt;=4),151,IF(AND(L210="Mittellos und ambulant",D211&gt;1,D211&lt;=2),170,IF(AND(L210="Mittellos und ambulant",D211&gt;0,D211&lt;=1),208,IF(AND(L210="Mittellos und stationär",D211&gt;8,D211&lt;=1000),62,IF(AND(L210="Mittellos und stationär",D211&gt;4,D211&lt;=8),87,IF(AND(L210="Mittellos und stationär",D211&gt;2,D211&lt;=4),124,IF(AND(L210="Mittellos und stationär",D211&gt;1,D211&lt;=2),129,IF(AND(L210="Mittellos und stationär",D211&gt;0,D211&lt;=1),194,""))))))))))))))))))))),IF(M209="Stufe B",IF(AND(L210="Auswahl treffen",D211&gt;=0,D211&lt;=1000),J209,IF(AND(L210="Vermögend und ambulant",D211&gt;8,D211&lt;=1000),161,IF(AND(L210="Vermögend und ambulant",D211&gt;4,D211&lt;=8),196,IF(AND(L210="Vermögend und ambulant",D211&gt;2,D211&lt;=4),238,IF(AND(L210="Vermögend und ambulant",D211&gt;1,D211&lt;=2),258,IF(AND(L210="Vermögend und ambulant",D211&gt;0,D211&lt;=1),370,IF(AND(L210="Vermögend und stationär",D211&gt;8,D211&lt;=1000),96,IF(AND(L210="Vermögend und stationär",D211&gt;4,D211&lt;=8),113,IF(AND(L210="Vermögend und stationär",D211&gt;2,D211&lt;=4),174,IF(AND(L210="Vermögend und stationär",D211&gt;1,D211&lt;=2),196,IF(AND(L210="Vermögend und stationär",D211&gt;0,D211&lt;=1),249,IF(AND(L210="Mittellos und ambulant",D211&gt;8,D211&lt;=1000),130,IF(AND(L210="Mittellos und ambulant",D211&gt;4,D211&lt;=8),151,IF(AND(L210="Mittellos und ambulant",D211&gt;2,D211&lt;=4),188,IF(AND(L210="Mittellos und ambulant",D211&gt;1,D211&lt;=2),211,IF(AND(L210="Mittellos und ambulant",D211&gt;0,D211&lt;=1),258,IF(AND(L210="Mittellos und stationär",D211&gt;8,D211&lt;=1000),78,IF(AND(L210="Mittellos und stationär",D211&gt;4,D211&lt;=8),107,IF(AND(L210="Mittellos und stationär",D211&gt;2,D211&lt;=4),154,IF(AND(L210="Mittellos und stationär",D211&gt;1,D211&lt;=2),158,IF(AND(L210="Mittellos und stationär",D211&gt;0,D211&lt;=1),241,""))))))))))))))))))))),IF(M209="Stufe C",IF(AND(L210="Auswahl treffen",D211&gt;=0,D211&lt;=1000),J209,IF(AND(L210="Vermögend und ambulant",D211&gt;8,D211&lt;=1000),211,IF(AND(L210="Vermögend und ambulant",D211&gt;4,D211&lt;=8),257,IF(AND(L210="Vermögend und ambulant",D211&gt;2,D211&lt;=4),312,IF(AND(L210="Vermögend und ambulant",D211&gt;1,D211&lt;=2),339,IF(AND(L210="Vermögend und ambulant",D211&gt;0,D211&lt;=1),486,IF(AND(L210="Vermögend und stationär",D211&gt;8,D211&lt;=1000),127,IF(AND(L210="Vermögend und stationär",D211&gt;4,D211&lt;=8),149,IF(AND(L210="Vermögend und stationär",D211&gt;2,D211&lt;=4),229,IF(AND(L210="Vermögend und stationär",D211&gt;1,D211&lt;=2),257,IF(AND(L210="Vermögend und stationär",D211&gt;0,D211&lt;=1),327,IF(AND(L210="Mittellos und ambulant",D211&gt;8,D211&lt;=1000),171,IF(AND(L210="Mittellos und ambulant",D211&gt;4,D211&lt;=8),198,IF(AND(L210="Mittellos und ambulant",D211&gt;2,D211&lt;=4),246,IF(AND(L210="Mittellos und ambulant",D211&gt;1,D211&lt;=2),277,IF(AND(L210="Mittellos und ambulant",D211&gt;0,D211&lt;=1),339,IF(AND(L210="Mittellos und stationär",D211&gt;8,D211&lt;=1000),102,IF(AND(L210="Mittellos und stationär",D211&gt;4,D211&lt;=8),141,IF(AND(L210="Mittellos und stationär",D211&gt;2,D211&lt;=4),202,IF(AND(L210="Mittellos und stationär",D211&gt;1,D211&lt;=2),208,IF(AND(L210="Mittellos und stationär",D211&gt;0,D211&lt;=1),317,""))))))))))))))))))))),"")))*3+(J209*90)</f>
        <v>#NUM!</v>
      </c>
      <c r="M212" s="507" t="str">
        <f>CONCATENATE(K212, K211)</f>
        <v>+Inflat.-P</v>
      </c>
      <c r="N212" s="206" t="s">
        <v>118</v>
      </c>
      <c r="O212" s="207"/>
      <c r="P212" s="207"/>
      <c r="Q212" s="208"/>
      <c r="R212" s="187"/>
      <c r="S212" s="209" t="s">
        <v>118</v>
      </c>
      <c r="T212" s="201" t="s">
        <v>117</v>
      </c>
      <c r="U212" s="210" t="s">
        <v>26</v>
      </c>
      <c r="V212" s="192"/>
      <c r="W212" s="203"/>
      <c r="X212" s="203"/>
      <c r="Y212" s="210"/>
      <c r="Z212" s="192"/>
      <c r="AA212" s="203"/>
      <c r="AB212" s="203"/>
      <c r="AC212" s="210"/>
      <c r="AD212" s="192"/>
      <c r="AE212" s="203"/>
      <c r="AF212" s="203"/>
      <c r="AG212" s="210"/>
      <c r="AH212" s="193"/>
      <c r="AI212" s="203"/>
      <c r="AJ212" s="203"/>
      <c r="AK212" s="376"/>
      <c r="AL212" s="348" t="s">
        <v>148</v>
      </c>
      <c r="AM212" s="354">
        <f>IF(SUM(N210:N218)=SUM(S210:S218), 0, SUM(N210:N218)-SUM(S210:S218))</f>
        <v>0</v>
      </c>
      <c r="AN212" s="354"/>
      <c r="AO212" s="354"/>
      <c r="AP212" s="354"/>
      <c r="AQ212" s="350">
        <f>AM212+AN212+AO212+AP212</f>
        <v>0</v>
      </c>
      <c r="AR212" s="769"/>
      <c r="AS212" s="769"/>
      <c r="AT212" s="769"/>
      <c r="AW212"/>
      <c r="AX212"/>
      <c r="AY212" s="280"/>
      <c r="AZ212"/>
      <c r="BA212"/>
      <c r="BB212"/>
      <c r="BC212"/>
      <c r="BD212"/>
      <c r="BE212"/>
      <c r="BF212"/>
      <c r="BG212" s="280"/>
      <c r="BH212"/>
      <c r="BI212"/>
      <c r="BJ212"/>
      <c r="BK212"/>
      <c r="BL212"/>
      <c r="BM212"/>
      <c r="BN212"/>
      <c r="BO212"/>
    </row>
    <row r="213" spans="1:67" ht="22.25" customHeight="1">
      <c r="A213" s="181">
        <f t="shared" si="78"/>
        <v>45292</v>
      </c>
      <c r="B213" s="484" t="e">
        <f>MONTH(I210)</f>
        <v>#NUM!</v>
      </c>
      <c r="C213" s="489" t="s">
        <v>158</v>
      </c>
      <c r="D213" s="522" t="e">
        <f>D211+1</f>
        <v>#NUM!</v>
      </c>
      <c r="E213" s="211" t="e">
        <f>DATE(YEAR(E212),MONTH(E212),DAY(E212)+1)</f>
        <v>#NUM!</v>
      </c>
      <c r="F213" s="212" t="e">
        <f t="shared" si="83"/>
        <v>#NUM!</v>
      </c>
      <c r="G213" s="213" t="e">
        <f t="shared" si="84"/>
        <v>#NUM!</v>
      </c>
      <c r="H213" s="212" t="e">
        <f t="shared" si="85"/>
        <v>#NUM!</v>
      </c>
      <c r="I213" s="214" t="str">
        <f>IF(D210&lt;&gt;0,"-1T","")</f>
        <v/>
      </c>
      <c r="J213" s="215" t="e">
        <f>DATE($B215,I214,$B211)</f>
        <v>#NUM!</v>
      </c>
      <c r="K213" s="506" t="str">
        <f t="shared" si="82"/>
        <v/>
      </c>
      <c r="L213" s="470"/>
      <c r="M213" s="473" t="e">
        <f ca="1">SUM(J210-E214)&amp;" Tage"</f>
        <v>#NUM!</v>
      </c>
      <c r="N213" s="216"/>
      <c r="O213" s="217"/>
      <c r="P213" s="188"/>
      <c r="Q213" s="217"/>
      <c r="R213" s="189"/>
      <c r="S213" s="190"/>
      <c r="T213" s="190"/>
      <c r="U213" s="191"/>
      <c r="V213" s="192"/>
      <c r="W213" s="190"/>
      <c r="X213" s="190"/>
      <c r="Y213" s="191"/>
      <c r="Z213" s="192"/>
      <c r="AA213" s="190"/>
      <c r="AB213" s="190"/>
      <c r="AC213" s="191"/>
      <c r="AD213" s="192"/>
      <c r="AE213" s="190"/>
      <c r="AF213" s="190"/>
      <c r="AG213" s="191"/>
      <c r="AH213" s="193"/>
      <c r="AI213" s="190"/>
      <c r="AJ213" s="190"/>
      <c r="AK213" s="374"/>
      <c r="AL213" s="348"/>
      <c r="AM213" s="354"/>
      <c r="AN213" s="354"/>
      <c r="AO213" s="354"/>
      <c r="AP213" s="354"/>
      <c r="AQ213" s="350"/>
      <c r="AR213" s="769"/>
      <c r="AS213" s="769"/>
      <c r="AT213" s="769"/>
      <c r="AW213"/>
      <c r="AX213"/>
      <c r="AY213" s="280"/>
      <c r="AZ213"/>
      <c r="BA213"/>
      <c r="BB213"/>
      <c r="BC213"/>
      <c r="BD213"/>
      <c r="BE213"/>
      <c r="BF213"/>
      <c r="BG213" s="280"/>
      <c r="BH213"/>
      <c r="BI213"/>
      <c r="BJ213"/>
      <c r="BK213"/>
      <c r="BL213"/>
      <c r="BM213"/>
      <c r="BN213"/>
      <c r="BO213"/>
    </row>
    <row r="214" spans="1:67" ht="22.25" customHeight="1">
      <c r="A214" s="181">
        <f t="shared" si="78"/>
        <v>45292</v>
      </c>
      <c r="B214" s="485"/>
      <c r="C214" s="490"/>
      <c r="D214" s="521"/>
      <c r="E214" s="218" t="e">
        <f>DATE(YEAR(E213),MONTH(E213)+3,DAY(E213)-1)</f>
        <v>#NUM!</v>
      </c>
      <c r="F214" s="212" t="e">
        <f t="shared" si="83"/>
        <v>#NUM!</v>
      </c>
      <c r="G214" s="213" t="e">
        <f t="shared" si="84"/>
        <v>#NUM!</v>
      </c>
      <c r="H214" s="212" t="e">
        <f t="shared" si="85"/>
        <v>#NUM!</v>
      </c>
      <c r="I214" s="219">
        <f>MAX(I215:I218)</f>
        <v>9</v>
      </c>
      <c r="J214" s="220" t="e">
        <f>DATE(YEAR(J213)+1,MONTH(J213),DAY(J213))</f>
        <v>#NUM!</v>
      </c>
      <c r="K214" s="501" t="str">
        <f t="shared" si="82"/>
        <v>+Inflat.-P</v>
      </c>
      <c r="L214" s="508" t="e">
        <f>IF(M209="Stufe A",IF(AND(L210="Auswahl treffen",D213&gt;=0,D213&lt;=1000),J209,IF(AND(L210="Vermögend und ambulant",D213&gt;8,D213&lt;=1000),130,IF(AND(L210="Vermögend und ambulant",D213&gt;4,D213&lt;=8),158,IF(AND(L210="Vermögend und ambulant",D213&gt;2,D213&lt;=4),192,IF(AND(L210="Vermögend und ambulant",D213&gt;1,D213&lt;=2),208,IF(AND(L210="Vermögend und ambulant",D213&gt;0,D213&lt;=1),298,IF(AND(L210="Vermögend und stationär",D213&gt;8,D213&lt;=1000),78,IF(AND(L210="Vermögend und stationär",D213&gt;4,D213&lt;=8),91,IF(AND(L210="Vermögend und stationär",D213&gt;2,D213&lt;=4),140,IF(AND(L210="Vermögend und stationär",D213&gt;1,D213&lt;=2),158,IF(AND(L210="Vermögend und stationär",D213&gt;0,D213&lt;=1),200,IF(AND(L210="Mittellos und ambulant",D213&gt;8,D213&lt;=1000),105,IF(AND(L210="Mittellos und ambulant",D213&gt;4,D213&lt;=8),122,IF(AND(L210="Mittellos und ambulant",D213&gt;2,D213&lt;=4),151,IF(AND(L210="Mittellos und ambulant",D213&gt;1,D213&lt;=2),170,IF(AND(L210="Mittellos und ambulant",D213&gt;0,D213&lt;=1),208,IF(AND(L210="Mittellos und stationär",D213&gt;8,D213&lt;=1000),62,IF(AND(L210="Mittellos und stationär",D213&gt;4,D213&lt;=8),87,IF(AND(L210="Mittellos und stationär",D213&gt;2,D213&lt;=4),124,IF(AND(L210="Mittellos und stationär",D213&gt;1,D213&lt;=2),129,IF(AND(L210="Mittellos und stationär",D213&gt;0,D213&lt;=1),194,""))))))))))))))))))))),IF(M209="Stufe B",IF(AND(L210="Auswahl treffen",D213&gt;=0,D213&lt;=1000),J209,IF(AND(L210="Vermögend und ambulant",D213&gt;8,D213&lt;=1000),161,IF(AND(L210="Vermögend und ambulant",D213&gt;4,D213&lt;=8),196,IF(AND(L210="Vermögend und ambulant",D213&gt;2,D213&lt;=4),238,IF(AND(L210="Vermögend und ambulant",D213&gt;1,D213&lt;=2),258,IF(AND(L210="Vermögend und ambulant",D213&gt;0,D213&lt;=1),370,IF(AND(L210="Vermögend und stationär",D213&gt;8,D213&lt;=1000),96,IF(AND(L210="Vermögend und stationär",D213&gt;4,D213&lt;=8),113,IF(AND(L210="Vermögend und stationär",D213&gt;2,D213&lt;=4),174,IF(AND(L210="Vermögend und stationär",D213&gt;1,D213&lt;=2),196,IF(AND(L210="Vermögend und stationär",D213&gt;0,D213&lt;=1),249,IF(AND(L210="Mittellos und ambulant",D213&gt;8,D213&lt;=1000),130,IF(AND(L210="Mittellos und ambulant",D213&gt;4,D213&lt;=8),151,IF(AND(L210="Mittellos und ambulant",D213&gt;2,D213&lt;=4),188,IF(AND(L210="Mittellos und ambulant",D213&gt;1,D213&lt;=2),211,IF(AND(L210="Mittellos und ambulant",D213&gt;0,D213&lt;=1),258,IF(AND(L210="Mittellos und stationär",D213&gt;8,D213&lt;=1000),78,IF(AND(L210="Mittellos und stationär",D213&gt;4,D213&lt;=8),107,IF(AND(L210="Mittellos und stationär",D213&gt;2,D213&lt;=4),154,IF(AND(L210="Mittellos und stationär",D213&gt;1,D213&lt;=2),158,IF(AND(L210="Mittellos und stationär",D213&gt;0,D213&lt;=1),241,""))))))))))))))))))))),IF(M209="Stufe C",IF(AND(L210="Auswahl treffen",D213&gt;=0,D213&lt;=1000),J209,IF(AND(L210="Vermögend und ambulant",D213&gt;8,D213&lt;=1000),211,IF(AND(L210="Vermögend und ambulant",D213&gt;4,D213&lt;=8),257,IF(AND(L210="Vermögend und ambulant",D213&gt;2,D213&lt;=4),312,IF(AND(L210="Vermögend und ambulant",D213&gt;1,D213&lt;=2),339,IF(AND(L210="Vermögend und ambulant",D213&gt;0,D213&lt;=1),486,IF(AND(L210="Vermögend und stationär",D213&gt;8,D213&lt;=1000),127,IF(AND(L210="Vermögend und stationär",D213&gt;4,D213&lt;=8),149,IF(AND(L210="Vermögend und stationär",D213&gt;2,D213&lt;=4),229,IF(AND(L210="Vermögend und stationär",D213&gt;1,D213&lt;=2),257,IF(AND(L210="Vermögend und stationär",D213&gt;0,D213&lt;=1),327,IF(AND(L210="Mittellos und ambulant",D213&gt;8,D213&lt;=1000),171,IF(AND(L210="Mittellos und ambulant",D213&gt;4,D213&lt;=8),198,IF(AND(L210="Mittellos und ambulant",D213&gt;2,D213&lt;=4),246,IF(AND(L210="Mittellos und ambulant",D213&gt;1,D213&lt;=2),277,IF(AND(L210="Mittellos und ambulant",D213&gt;0,D213&lt;=1),339,IF(AND(L210="Mittellos und stationär",D213&gt;8,D213&lt;=1000),102,IF(AND(L210="Mittellos und stationär",D213&gt;4,D213&lt;=8),141,IF(AND(L210="Mittellos und stationär",D213&gt;2,D213&lt;=4),202,IF(AND(L210="Mittellos und stationär",D213&gt;1,D213&lt;=2),208,IF(AND(L210="Mittellos und stationär",D213&gt;0,D213&lt;=1),317,""))))))))))))))))))))),"")))*3+(J209*90)</f>
        <v>#NUM!</v>
      </c>
      <c r="M214" s="507" t="str">
        <f>CONCATENATE(K214, K213)</f>
        <v>+Inflat.-P</v>
      </c>
      <c r="N214" s="216"/>
      <c r="O214" s="188" t="s">
        <v>118</v>
      </c>
      <c r="P214" s="188"/>
      <c r="Q214" s="221"/>
      <c r="R214" s="199"/>
      <c r="S214" s="190"/>
      <c r="T214" s="190"/>
      <c r="U214" s="191"/>
      <c r="V214" s="192"/>
      <c r="W214" s="222" t="s">
        <v>118</v>
      </c>
      <c r="X214" s="222" t="s">
        <v>117</v>
      </c>
      <c r="Y214" s="191" t="s">
        <v>26</v>
      </c>
      <c r="Z214" s="192"/>
      <c r="AA214" s="190"/>
      <c r="AB214" s="190"/>
      <c r="AC214" s="191"/>
      <c r="AD214" s="192"/>
      <c r="AE214" s="190"/>
      <c r="AF214" s="190"/>
      <c r="AG214" s="191"/>
      <c r="AH214" s="193"/>
      <c r="AI214" s="190"/>
      <c r="AJ214" s="190"/>
      <c r="AK214" s="374"/>
      <c r="AL214" s="348" t="s">
        <v>149</v>
      </c>
      <c r="AM214" s="354"/>
      <c r="AN214" s="354">
        <f>IF(SUM(O210:O218)=SUM(W210:W218), 0, SUM(O210:O218)-SUM(W210:W218))</f>
        <v>0</v>
      </c>
      <c r="AO214" s="354"/>
      <c r="AP214" s="354"/>
      <c r="AQ214" s="350">
        <f>AM214+AN214+AO214+AP214</f>
        <v>0</v>
      </c>
      <c r="AR214" s="769"/>
      <c r="AS214" s="769"/>
      <c r="AT214" s="769"/>
      <c r="AW214"/>
      <c r="AX214"/>
      <c r="AY214" s="280"/>
      <c r="AZ214"/>
      <c r="BA214"/>
      <c r="BB214"/>
      <c r="BC214"/>
      <c r="BD214"/>
      <c r="BE214"/>
      <c r="BF214"/>
      <c r="BG214" s="280"/>
      <c r="BH214"/>
      <c r="BI214"/>
      <c r="BJ214"/>
      <c r="BK214"/>
      <c r="BL214"/>
      <c r="BM214"/>
      <c r="BN214"/>
      <c r="BO214"/>
    </row>
    <row r="215" spans="1:67" ht="22.25" customHeight="1">
      <c r="A215" s="181">
        <f t="shared" si="78"/>
        <v>45292</v>
      </c>
      <c r="B215" s="484">
        <f>YEAR($A216)-1</f>
        <v>2023</v>
      </c>
      <c r="C215" s="489" t="s">
        <v>158</v>
      </c>
      <c r="D215" s="520" t="e">
        <f>D213+1</f>
        <v>#NUM!</v>
      </c>
      <c r="E215" s="194" t="e">
        <f>DATE(YEAR(E214),MONTH(E214),DAY(E214)+1)</f>
        <v>#NUM!</v>
      </c>
      <c r="F215" s="195" t="e">
        <f t="shared" si="83"/>
        <v>#NUM!</v>
      </c>
      <c r="G215" s="196" t="e">
        <f t="shared" si="84"/>
        <v>#NUM!</v>
      </c>
      <c r="H215" s="195" t="e">
        <f t="shared" si="85"/>
        <v>#NUM!</v>
      </c>
      <c r="I215" s="197">
        <f>IF(J217&lt;13,J217,"")</f>
        <v>9</v>
      </c>
      <c r="J215" s="224">
        <f>G210</f>
        <v>0</v>
      </c>
      <c r="K215" s="501" t="str">
        <f t="shared" si="82"/>
        <v/>
      </c>
      <c r="L215" s="471"/>
      <c r="M215" s="473" t="e">
        <f ca="1">SUM(J210-E216)&amp;" Tage"</f>
        <v>#NUM!</v>
      </c>
      <c r="N215" s="200"/>
      <c r="O215" s="201"/>
      <c r="P215" s="201"/>
      <c r="Q215" s="202"/>
      <c r="R215" s="189"/>
      <c r="S215" s="203"/>
      <c r="T215" s="203"/>
      <c r="U215" s="204"/>
      <c r="V215" s="192"/>
      <c r="W215" s="203"/>
      <c r="X215" s="203"/>
      <c r="Y215" s="204"/>
      <c r="Z215" s="192"/>
      <c r="AA215" s="203"/>
      <c r="AB215" s="203"/>
      <c r="AC215" s="204"/>
      <c r="AD215" s="192"/>
      <c r="AE215" s="203"/>
      <c r="AF215" s="203"/>
      <c r="AG215" s="204"/>
      <c r="AH215" s="193"/>
      <c r="AI215" s="203"/>
      <c r="AJ215" s="203"/>
      <c r="AK215" s="375"/>
      <c r="AL215" s="348"/>
      <c r="AM215" s="354"/>
      <c r="AN215" s="354"/>
      <c r="AO215" s="354"/>
      <c r="AP215" s="354"/>
      <c r="AQ215" s="350"/>
      <c r="AR215" s="769"/>
      <c r="AS215" s="769"/>
      <c r="AT215" s="769"/>
      <c r="AW215"/>
      <c r="AX215"/>
      <c r="AY215" s="280"/>
      <c r="AZ215"/>
      <c r="BA215"/>
      <c r="BB215"/>
      <c r="BC215"/>
      <c r="BD215"/>
      <c r="BE215"/>
      <c r="BF215"/>
      <c r="BG215" s="280"/>
      <c r="BH215"/>
      <c r="BI215"/>
      <c r="BJ215"/>
      <c r="BK215"/>
      <c r="BL215"/>
      <c r="BM215"/>
      <c r="BN215"/>
      <c r="BO215"/>
    </row>
    <row r="216" spans="1:67" ht="22.25" customHeight="1">
      <c r="A216" s="181">
        <f t="shared" si="78"/>
        <v>45292</v>
      </c>
      <c r="B216" s="485"/>
      <c r="C216" s="490"/>
      <c r="D216" s="521"/>
      <c r="E216" s="194" t="e">
        <f>DATE(YEAR(E215),MONTH(E215)+3,DAY(E215)-1)</f>
        <v>#NUM!</v>
      </c>
      <c r="F216" s="195" t="e">
        <f t="shared" si="83"/>
        <v>#NUM!</v>
      </c>
      <c r="G216" s="196" t="e">
        <f t="shared" si="84"/>
        <v>#NUM!</v>
      </c>
      <c r="H216" s="195" t="e">
        <f t="shared" si="85"/>
        <v>#NUM!</v>
      </c>
      <c r="I216" s="244">
        <f>IF(J218&lt;13,J218,"")</f>
        <v>6</v>
      </c>
      <c r="J216" s="224">
        <f>J215+3</f>
        <v>3</v>
      </c>
      <c r="K216" s="506" t="str">
        <f t="shared" si="82"/>
        <v>+Inflat.-P</v>
      </c>
      <c r="L216" s="511" t="e">
        <f>IF(M209="Stufe A",IF(AND(L210="Auswahl treffen",D215&gt;=0,D215&lt;=1000),J209,IF(AND(L210="Vermögend und ambulant",D215&gt;8,D215&lt;=1000),130,IF(AND(L210="Vermögend und ambulant",D215&gt;4,D215&lt;=8),158,IF(AND(L210="Vermögend und ambulant",D215&gt;2,D215&lt;=4),192,IF(AND(L210="Vermögend und ambulant",D215&gt;1,D215&lt;=2),208,IF(AND(L210="Vermögend und ambulant",D215&gt;0,D215&lt;=1),298,IF(AND(L210="Vermögend und stationär",D215&gt;8,D215&lt;=1000),78,IF(AND(L210="Vermögend und stationär",D215&gt;4,D215&lt;=8),91,IF(AND(L210="Vermögend und stationär",D215&gt;2,D215&lt;=4),140,IF(AND(L210="Vermögend und stationär",D215&gt;1,D215&lt;=2),158,IF(AND(L210="Vermögend und stationär",D215&gt;0,D215&lt;=1),200,IF(AND(L210="Mittellos und ambulant",D215&gt;8,D215&lt;=1000),105,IF(AND(L210="Mittellos und ambulant",D215&gt;4,D215&lt;=8),122,IF(AND(L210="Mittellos und ambulant",D215&gt;2,D215&lt;=4),151,IF(AND(L210="Mittellos und ambulant",D215&gt;1,D215&lt;=2),170,IF(AND(L210="Mittellos und ambulant",D215&gt;0,D215&lt;=1),208,IF(AND(L210="Mittellos und stationär",D215&gt;8,D215&lt;=1000),62,IF(AND(L210="Mittellos und stationär",D215&gt;4,D215&lt;=8),87,IF(AND(L210="Mittellos und stationär",D215&gt;2,D215&lt;=4),124,IF(AND(L210="Mittellos und stationär",D215&gt;1,D215&lt;=2),129,IF(AND(L210="Mittellos und stationär",D215&gt;0,D215&lt;=1),194,""))))))))))))))))))))),IF(M209="Stufe B",IF(AND(L210="Auswahl treffen",D215&gt;=0,D215&lt;=1000),J209,IF(AND(L210="Vermögend und ambulant",D215&gt;8,D215&lt;=1000),161,IF(AND(L210="Vermögend und ambulant",D215&gt;4,D215&lt;=8),196,IF(AND(L210="Vermögend und ambulant",D215&gt;2,D215&lt;=4),238,IF(AND(L210="Vermögend und ambulant",D215&gt;1,D215&lt;=2),258,IF(AND(L210="Vermögend und ambulant",D215&gt;0,D215&lt;=1),370,IF(AND(L210="Vermögend und stationär",D215&gt;8,D215&lt;=1000),96,IF(AND(L210="Vermögend und stationär",D215&gt;4,D215&lt;=8),113,IF(AND(L210="Vermögend und stationär",D215&gt;2,D215&lt;=4),174,IF(AND(L210="Vermögend und stationär",D215&gt;1,D215&lt;=2),196,IF(AND(L210="Vermögend und stationär",D215&gt;0,D215&lt;=1),249,IF(AND(L210="Mittellos und ambulant",D215&gt;8,D215&lt;=1000),130,IF(AND(L210="Mittellos und ambulant",D215&gt;4,D215&lt;=8),151,IF(AND(L210="Mittellos und ambulant",D215&gt;2,D215&lt;=4),188,IF(AND(L210="Mittellos und ambulant",D215&gt;1,D215&lt;=2),211,IF(AND(L210="Mittellos und ambulant",D215&gt;0,D215&lt;=1),258,IF(AND(L210="Mittellos und stationär",D215&gt;8,D215&lt;=1000),78,IF(AND(L210="Mittellos und stationär",D215&gt;4,D215&lt;=8),107,IF(AND(L210="Mittellos und stationär",D215&gt;2,D215&lt;=4),154,IF(AND(L210="Mittellos und stationär",D215&gt;1,D215&lt;=2),158,IF(AND(L210="Mittellos und stationär",D215&gt;0,D215&lt;=1),241,""))))))))))))))))))))),IF(M209="Stufe C",IF(AND(L210="Auswahl treffen",D215&gt;=0,D215&lt;=1000),J209,IF(AND(L210="Vermögend und ambulant",D215&gt;8,D215&lt;=1000),211,IF(AND(L210="Vermögend und ambulant",D215&gt;4,D215&lt;=8),257,IF(AND(L210="Vermögend und ambulant",D215&gt;2,D215&lt;=4),312,IF(AND(L210="Vermögend und ambulant",D215&gt;1,D215&lt;=2),339,IF(AND(L210="Vermögend und ambulant",D215&gt;0,D215&lt;=1),486,IF(AND(L210="Vermögend und stationär",D215&gt;8,D215&lt;=1000),127,IF(AND(L210="Vermögend und stationär",D215&gt;4,D215&lt;=8),149,IF(AND(L210="Vermögend und stationär",D215&gt;2,D215&lt;=4),229,IF(AND(L210="Vermögend und stationär",D215&gt;1,D215&lt;=2),257,IF(AND(L210="Vermögend und stationär",D215&gt;0,D215&lt;=1),327,IF(AND(L210="Mittellos und ambulant",D215&gt;8,D215&lt;=1000),171,IF(AND(L210="Mittellos und ambulant",D215&gt;4,D215&lt;=8),198,IF(AND(L210="Mittellos und ambulant",D215&gt;2,D215&lt;=4),246,IF(AND(L210="Mittellos und ambulant",D215&gt;1,D215&lt;=2),277,IF(AND(L210="Mittellos und ambulant",D215&gt;0,D215&lt;=1),339,IF(AND(L210="Mittellos und stationär",D215&gt;8,D215&lt;=1000),102,IF(AND(L210="Mittellos und stationär",D215&gt;4,D215&lt;=8),141,IF(AND(L210="Mittellos und stationär",D215&gt;2,D215&lt;=4),202,IF(AND(L210="Mittellos und stationär",D215&gt;1,D215&lt;=2),208,IF(AND(L210="Mittellos und stationär",D215&gt;0,D215&lt;=1),317,""))))))))))))))))))))),"")))*3+(J209*90)</f>
        <v>#NUM!</v>
      </c>
      <c r="M216" s="507" t="str">
        <f>CONCATENATE(K216, K215)</f>
        <v>+Inflat.-P</v>
      </c>
      <c r="N216" s="206"/>
      <c r="O216" s="207"/>
      <c r="P216" s="206" t="s">
        <v>118</v>
      </c>
      <c r="Q216" s="226"/>
      <c r="R216" s="189"/>
      <c r="S216" s="203"/>
      <c r="T216" s="203"/>
      <c r="U216" s="204"/>
      <c r="V216" s="192"/>
      <c r="W216" s="203"/>
      <c r="X216" s="203"/>
      <c r="Y216" s="204"/>
      <c r="Z216" s="192"/>
      <c r="AA216" s="209" t="s">
        <v>118</v>
      </c>
      <c r="AB216" s="209" t="s">
        <v>117</v>
      </c>
      <c r="AC216" s="204" t="s">
        <v>26</v>
      </c>
      <c r="AD216" s="192"/>
      <c r="AE216" s="203"/>
      <c r="AF216" s="203"/>
      <c r="AG216" s="204"/>
      <c r="AH216" s="193"/>
      <c r="AI216" s="203"/>
      <c r="AJ216" s="203"/>
      <c r="AK216" s="375"/>
      <c r="AL216" s="348" t="s">
        <v>150</v>
      </c>
      <c r="AM216" s="354"/>
      <c r="AN216" s="354"/>
      <c r="AO216" s="354">
        <f>IF(SUM(P210:P218)=SUM(AA210:AA218), 0, SUM(P210:P218)-SUM(AA210:AA218))</f>
        <v>0</v>
      </c>
      <c r="AP216" s="354"/>
      <c r="AQ216" s="350">
        <f>AM216+AN216+AO216+AP216</f>
        <v>0</v>
      </c>
      <c r="AR216" s="769"/>
      <c r="AS216" s="769"/>
      <c r="AT216" s="769"/>
      <c r="AW216"/>
      <c r="AX216"/>
      <c r="AY216" s="280"/>
      <c r="AZ216"/>
      <c r="BA216"/>
      <c r="BB216"/>
      <c r="BC216"/>
      <c r="BD216"/>
      <c r="BE216"/>
      <c r="BF216"/>
      <c r="BG216" s="280"/>
      <c r="BH216"/>
      <c r="BI216"/>
      <c r="BJ216"/>
      <c r="BK216"/>
      <c r="BL216"/>
      <c r="BM216"/>
      <c r="BN216"/>
      <c r="BO216"/>
    </row>
    <row r="217" spans="1:67" ht="22.25" customHeight="1">
      <c r="A217" s="181">
        <f t="shared" si="78"/>
        <v>45292</v>
      </c>
      <c r="B217" s="486"/>
      <c r="C217" s="489" t="s">
        <v>158</v>
      </c>
      <c r="D217" s="522" t="e">
        <f>D215+1</f>
        <v>#NUM!</v>
      </c>
      <c r="E217" s="211" t="e">
        <f>DATE(YEAR(E216),MONTH(E216),DAY(E216)+1)</f>
        <v>#NUM!</v>
      </c>
      <c r="F217" s="227" t="e">
        <f t="shared" si="83"/>
        <v>#NUM!</v>
      </c>
      <c r="G217" s="228" t="e">
        <f t="shared" si="84"/>
        <v>#NUM!</v>
      </c>
      <c r="H217" s="227" t="e">
        <f t="shared" si="85"/>
        <v>#NUM!</v>
      </c>
      <c r="I217" s="231">
        <f>IF(J216&lt;13,J216,"")</f>
        <v>3</v>
      </c>
      <c r="J217" s="230">
        <f>J218+3</f>
        <v>9</v>
      </c>
      <c r="K217" s="501" t="str">
        <f t="shared" si="82"/>
        <v/>
      </c>
      <c r="L217" s="471"/>
      <c r="M217" s="473" t="e">
        <f ca="1">SUM(J210-E218)&amp;" Tage"</f>
        <v>#NUM!</v>
      </c>
      <c r="N217" s="216"/>
      <c r="O217" s="188"/>
      <c r="P217" s="188"/>
      <c r="Q217" s="217"/>
      <c r="R217" s="189"/>
      <c r="S217" s="190"/>
      <c r="T217" s="190"/>
      <c r="U217" s="191"/>
      <c r="V217" s="192"/>
      <c r="W217" s="190"/>
      <c r="X217" s="190"/>
      <c r="Y217" s="191"/>
      <c r="Z217" s="192"/>
      <c r="AA217" s="190"/>
      <c r="AB217" s="190"/>
      <c r="AC217" s="191"/>
      <c r="AD217" s="192"/>
      <c r="AE217" s="190"/>
      <c r="AF217" s="190"/>
      <c r="AG217" s="191"/>
      <c r="AH217" s="193"/>
      <c r="AI217" s="190"/>
      <c r="AJ217" s="190"/>
      <c r="AK217" s="374"/>
      <c r="AL217" s="348"/>
      <c r="AM217" s="354"/>
      <c r="AN217" s="354"/>
      <c r="AO217" s="354"/>
      <c r="AP217" s="354"/>
      <c r="AQ217" s="350"/>
      <c r="AR217" s="769"/>
      <c r="AS217" s="769"/>
      <c r="AT217" s="769"/>
      <c r="AW217"/>
      <c r="AX217"/>
      <c r="AY217" s="280"/>
      <c r="AZ217"/>
      <c r="BA217"/>
      <c r="BB217"/>
      <c r="BC217"/>
      <c r="BD217"/>
      <c r="BE217"/>
      <c r="BF217"/>
      <c r="BG217" s="280"/>
      <c r="BH217"/>
      <c r="BI217"/>
      <c r="BJ217"/>
      <c r="BK217"/>
      <c r="BL217"/>
      <c r="BM217"/>
      <c r="BN217"/>
      <c r="BO217"/>
    </row>
    <row r="218" spans="1:67" ht="22.25" customHeight="1">
      <c r="A218" s="181">
        <f t="shared" si="78"/>
        <v>45292</v>
      </c>
      <c r="B218" s="485"/>
      <c r="C218" s="490"/>
      <c r="D218" s="521"/>
      <c r="E218" s="218" t="e">
        <f>DATE(YEAR(E217),MONTH(E217)+3,DAY(E217)-1)</f>
        <v>#NUM!</v>
      </c>
      <c r="F218" s="227" t="e">
        <f t="shared" si="83"/>
        <v>#NUM!</v>
      </c>
      <c r="G218" s="228" t="e">
        <f t="shared" si="84"/>
        <v>#NUM!</v>
      </c>
      <c r="H218" s="227" t="e">
        <f t="shared" si="85"/>
        <v>#NUM!</v>
      </c>
      <c r="I218" s="231">
        <f>IF(J215&lt;13,J215,"")</f>
        <v>0</v>
      </c>
      <c r="J218" s="230">
        <f>J216+3</f>
        <v>6</v>
      </c>
      <c r="K218" s="506" t="str">
        <f t="shared" si="82"/>
        <v>+Inflat.-P</v>
      </c>
      <c r="L218" s="508" t="e">
        <f>IF(M209="Stufe A",IF(AND(L210="Auswahl treffen",D217&gt;=0,D217&lt;=1000),J209,IF(AND(L210="Vermögend und ambulant",D217&gt;8,D217&lt;=1000),130,IF(AND(L210="Vermögend und ambulant",D217&gt;4,D217&lt;=8),158,IF(AND(L210="Vermögend und ambulant",D217&gt;2,D217&lt;=4),192,IF(AND(L210="Vermögend und ambulant",D217&gt;1,D217&lt;=2),208,IF(AND(L210="Vermögend und ambulant",D217&gt;0,D217&lt;=1),298,IF(AND(L210="Vermögend und stationär",D217&gt;8,D217&lt;=1000),78,IF(AND(L210="Vermögend und stationär",D217&gt;4,D217&lt;=8),91,IF(AND(L210="Vermögend und stationär",D217&gt;2,D217&lt;=4),140,IF(AND(L210="Vermögend und stationär",D217&gt;1,D217&lt;=2),158,IF(AND(L210="Vermögend und stationär",D217&gt;0,D217&lt;=1),200,IF(AND(L210="Mittellos und ambulant",D217&gt;8,D217&lt;=1000),105,IF(AND(L210="Mittellos und ambulant",D217&gt;4,D217&lt;=8),122,IF(AND(L210="Mittellos und ambulant",D217&gt;2,D217&lt;=4),151,IF(AND(L210="Mittellos und ambulant",D217&gt;1,D217&lt;=2),170,IF(AND(L210="Mittellos und ambulant",D217&gt;0,D217&lt;=1),208,IF(AND(L210="Mittellos und stationär",D217&gt;8,D217&lt;=1000),62,IF(AND(L210="Mittellos und stationär",D217&gt;4,D217&lt;=8),87,IF(AND(L210="Mittellos und stationär",D217&gt;2,D217&lt;=4),124,IF(AND(L210="Mittellos und stationär",D217&gt;1,D217&lt;=2),129,IF(AND(L210="Mittellos und stationär",D217&gt;0,D217&lt;=1),194,""))))))))))))))))))))),IF(M209="Stufe B",IF(AND(L210="Auswahl treffen",D217&gt;=0,D217&lt;=1000),J209,IF(AND(L210="Vermögend und ambulant",D217&gt;8,D217&lt;=1000),161,IF(AND(L210="Vermögend und ambulant",D217&gt;4,D217&lt;=8),196,IF(AND(L210="Vermögend und ambulant",D217&gt;2,D217&lt;=4),238,IF(AND(L210="Vermögend und ambulant",D217&gt;1,D217&lt;=2),258,IF(AND(L210="Vermögend und ambulant",D217&gt;0,D217&lt;=1),370,IF(AND(L210="Vermögend und stationär",D217&gt;8,D217&lt;=1000),96,IF(AND(L210="Vermögend und stationär",D217&gt;4,D217&lt;=8),113,IF(AND(L210="Vermögend und stationär",D217&gt;2,D217&lt;=4),174,IF(AND(L210="Vermögend und stationär",D217&gt;1,D217&lt;=2),196,IF(AND(L210="Vermögend und stationär",D217&gt;0,D217&lt;=1),249,IF(AND(L210="Mittellos und ambulant",D217&gt;8,D217&lt;=1000),130,IF(AND(L210="Mittellos und ambulant",D217&gt;4,D217&lt;=8),151,IF(AND(L210="Mittellos und ambulant",D217&gt;2,D217&lt;=4),188,IF(AND(L210="Mittellos und ambulant",D217&gt;1,D217&lt;=2),211,IF(AND(L210="Mittellos und ambulant",D217&gt;0,D217&lt;=1),258,IF(AND(L210="Mittellos und stationär",D217&gt;8,D217&lt;=1000),78,IF(AND(L210="Mittellos und stationär",D217&gt;4,D217&lt;=8),107,IF(AND(L210="Mittellos und stationär",D217&gt;2,D217&lt;=4),154,IF(AND(L210="Mittellos und stationär",D217&gt;1,D217&lt;=2),158,IF(AND(L210="Mittellos und stationär",D217&gt;0,D217&lt;=1),241,""))))))))))))))))))))),IF(M209="Stufe C",IF(AND(L210="Auswahl treffen",D217&gt;=0,D217&lt;=1000),J209,IF(AND(L210="Vermögend und ambulant",D217&gt;8,D217&lt;=1000),211,IF(AND(L210="Vermögend und ambulant",D217&gt;4,D217&lt;=8),257,IF(AND(L210="Vermögend und ambulant",D217&gt;2,D217&lt;=4),312,IF(AND(L210="Vermögend und ambulant",D217&gt;1,D217&lt;=2),339,IF(AND(L210="Vermögend und ambulant",D217&gt;0,D217&lt;=1),486,IF(AND(L210="Vermögend und stationär",D217&gt;8,D217&lt;=1000),127,IF(AND(L210="Vermögend und stationär",D217&gt;4,D217&lt;=8),149,IF(AND(L210="Vermögend und stationär",D217&gt;2,D217&lt;=4),229,IF(AND(L210="Vermögend und stationär",D217&gt;1,D217&lt;=2),257,IF(AND(L210="Vermögend und stationär",D217&gt;0,D217&lt;=1),327,IF(AND(L210="Mittellos und ambulant",D217&gt;8,D217&lt;=1000),171,IF(AND(L210="Mittellos und ambulant",D217&gt;4,D217&lt;=8),198,IF(AND(L210="Mittellos und ambulant",D217&gt;2,D217&lt;=4),246,IF(AND(L210="Mittellos und ambulant",D217&gt;1,D217&lt;=2),277,IF(AND(L210="Mittellos und ambulant",D217&gt;0,D217&lt;=1),339,IF(AND(L210="Mittellos und stationär",D217&gt;8,D217&lt;=1000),102,IF(AND(L210="Mittellos und stationär",D217&gt;4,D217&lt;=8),141,IF(AND(L210="Mittellos und stationär",D217&gt;2,D217&lt;=4),202,IF(AND(L210="Mittellos und stationär",D217&gt;1,D217&lt;=2),208,IF(AND(L210="Mittellos und stationär",D217&gt;0,D217&lt;=1),317,""))))))))))))))))))))),"")))*3+(J209*90)</f>
        <v>#NUM!</v>
      </c>
      <c r="M218" s="507" t="str">
        <f>CONCATENATE(K218, K217)</f>
        <v>+Inflat.-P</v>
      </c>
      <c r="N218" s="216"/>
      <c r="O218" s="188"/>
      <c r="P218" s="188"/>
      <c r="Q218" s="217" t="s">
        <v>118</v>
      </c>
      <c r="R218" s="189"/>
      <c r="S218" s="190"/>
      <c r="T218" s="190"/>
      <c r="U218" s="191"/>
      <c r="V218" s="192"/>
      <c r="W218" s="190"/>
      <c r="X218" s="190"/>
      <c r="Y218" s="191"/>
      <c r="Z218" s="192"/>
      <c r="AA218" s="190"/>
      <c r="AB218" s="190"/>
      <c r="AC218" s="191"/>
      <c r="AD218" s="192"/>
      <c r="AE218" s="190" t="s">
        <v>118</v>
      </c>
      <c r="AF218" s="190" t="s">
        <v>117</v>
      </c>
      <c r="AG218" s="191" t="s">
        <v>26</v>
      </c>
      <c r="AH218" s="193"/>
      <c r="AI218" s="190" t="s">
        <v>118</v>
      </c>
      <c r="AJ218" s="190" t="s">
        <v>117</v>
      </c>
      <c r="AK218" s="374" t="s">
        <v>26</v>
      </c>
      <c r="AL218" s="348" t="s">
        <v>151</v>
      </c>
      <c r="AM218" s="354"/>
      <c r="AN218" s="354"/>
      <c r="AO218" s="354"/>
      <c r="AP218" s="354">
        <f>IF(SUM(Q210:Q218)=SUM(AE210:AE218,AI210:AI218), 0, SUM(Q210:Q218)-SUM(AE210:AE218,AI210:AI218))</f>
        <v>0</v>
      </c>
      <c r="AQ218" s="350">
        <f>AM218+AN218+AO218+AP218</f>
        <v>0</v>
      </c>
      <c r="AR218" s="769"/>
      <c r="AS218" s="769"/>
      <c r="AT218" s="769"/>
      <c r="AW218"/>
      <c r="AX218"/>
      <c r="AY218" s="280"/>
      <c r="AZ218"/>
      <c r="BA218"/>
      <c r="BB218"/>
      <c r="BC218"/>
      <c r="BD218"/>
      <c r="BE218"/>
      <c r="BF218"/>
      <c r="BG218" s="280"/>
      <c r="BH218"/>
      <c r="BI218"/>
      <c r="BJ218"/>
      <c r="BK218"/>
      <c r="BL218"/>
      <c r="BM218"/>
      <c r="BN218"/>
      <c r="BO218"/>
    </row>
    <row r="219" spans="1:67" ht="22" customHeight="1">
      <c r="A219" s="181">
        <f t="shared" si="78"/>
        <v>45292</v>
      </c>
      <c r="B219" s="232" t="s">
        <v>74</v>
      </c>
      <c r="C219" s="233" t="s">
        <v>75</v>
      </c>
      <c r="D219" s="234" t="s">
        <v>76</v>
      </c>
      <c r="E219" s="235" t="s">
        <v>11</v>
      </c>
      <c r="F219" s="235" t="s">
        <v>4</v>
      </c>
      <c r="G219" s="235" t="s">
        <v>5</v>
      </c>
      <c r="H219" s="235" t="s">
        <v>6</v>
      </c>
      <c r="I219" s="236" t="s">
        <v>77</v>
      </c>
      <c r="J219" s="306"/>
      <c r="K219" s="501" t="str">
        <f t="shared" si="82"/>
        <v/>
      </c>
      <c r="L219" s="306" t="str">
        <f>IFERROR(VLOOKUP(B220,'Aktuelle Einnahmen'!A2:J104,10,0),"")</f>
        <v/>
      </c>
      <c r="M219" s="510" t="str">
        <f>M209</f>
        <v>Stufe C</v>
      </c>
      <c r="N219" s="237"/>
      <c r="O219" s="238"/>
      <c r="P219" s="238"/>
      <c r="Q219" s="239"/>
      <c r="R219" s="240"/>
      <c r="S219" s="241"/>
      <c r="T219" s="241"/>
      <c r="U219" s="242"/>
      <c r="V219" s="243"/>
      <c r="W219" s="241"/>
      <c r="X219" s="241"/>
      <c r="Y219" s="242"/>
      <c r="Z219" s="243"/>
      <c r="AA219" s="241"/>
      <c r="AB219" s="241"/>
      <c r="AC219" s="242"/>
      <c r="AD219" s="243"/>
      <c r="AE219" s="241"/>
      <c r="AF219" s="241"/>
      <c r="AG219" s="242"/>
      <c r="AH219" s="240"/>
      <c r="AI219" s="241"/>
      <c r="AJ219" s="241"/>
      <c r="AK219" s="377"/>
      <c r="AL219" s="347"/>
      <c r="AM219" s="353"/>
      <c r="AN219" s="353"/>
      <c r="AO219" s="353"/>
      <c r="AP219" s="353"/>
      <c r="AQ219" s="349"/>
      <c r="AR219" s="768"/>
      <c r="AS219" s="768"/>
      <c r="AT219" s="768"/>
      <c r="AW219"/>
      <c r="AX219"/>
      <c r="AY219" s="280"/>
      <c r="AZ219"/>
      <c r="BA219"/>
      <c r="BB219"/>
      <c r="BC219"/>
      <c r="BD219"/>
      <c r="BE219"/>
      <c r="BF219"/>
      <c r="BG219" s="280"/>
      <c r="BH219"/>
      <c r="BI219"/>
      <c r="BJ219"/>
      <c r="BK219"/>
      <c r="BL219"/>
      <c r="BM219"/>
      <c r="BN219"/>
      <c r="BO219"/>
    </row>
    <row r="220" spans="1:67" ht="23" customHeight="1">
      <c r="A220" s="181">
        <f t="shared" si="78"/>
        <v>45292</v>
      </c>
      <c r="B220" s="182">
        <v>22</v>
      </c>
      <c r="C220" s="245">
        <f>IFERROR(VLOOKUP($B220,'Aktuelle Einnahmen'!A2:G104,3,0),"")</f>
        <v>0</v>
      </c>
      <c r="D220" s="246">
        <f>IFERROR(VLOOKUP($B220,'Aktuelle Einnahmen'!A2:G104,2,0),"")</f>
        <v>0</v>
      </c>
      <c r="E220" s="247">
        <f>IFERROR(VLOOKUP($B220,'Aktuelle Einnahmen'!A2:G104,4,0),"")</f>
        <v>0</v>
      </c>
      <c r="F220" s="94">
        <f>IFERROR(VLOOKUP($B220,'Aktuelle Einnahmen'!A2:G104,5,0),"")</f>
        <v>0</v>
      </c>
      <c r="G220" s="94">
        <f>IFERROR(VLOOKUP($B220,'Aktuelle Einnahmen'!A2:G104,6,0),"")</f>
        <v>0</v>
      </c>
      <c r="H220" s="94">
        <f>IFERROR(VLOOKUP($B220,'Aktuelle Einnahmen'!A2:G104,7,0),"")</f>
        <v>0</v>
      </c>
      <c r="I220" s="186" t="e">
        <f>DATE(H220,G220,F220)</f>
        <v>#NUM!</v>
      </c>
      <c r="J220" s="472">
        <f ca="1">J210</f>
        <v>45475</v>
      </c>
      <c r="K220" s="506" t="str">
        <f t="shared" si="82"/>
        <v>+Inflat.-P</v>
      </c>
      <c r="L220" s="1262" t="str">
        <f>IFERROR(VLOOKUP(B220,'Aktuelle Einnahmen'!A12:I114,9,0),"")</f>
        <v>Auswahl treffen</v>
      </c>
      <c r="M220" s="1263"/>
      <c r="N220" s="261"/>
      <c r="O220" s="261"/>
      <c r="P220" s="261"/>
      <c r="Q220" s="261"/>
      <c r="R220" s="189"/>
      <c r="S220" s="190"/>
      <c r="T220" s="190"/>
      <c r="U220" s="191"/>
      <c r="V220" s="192"/>
      <c r="W220" s="190"/>
      <c r="X220" s="190"/>
      <c r="Y220" s="191"/>
      <c r="Z220" s="192"/>
      <c r="AA220" s="190"/>
      <c r="AB220" s="190"/>
      <c r="AC220" s="191"/>
      <c r="AD220" s="192"/>
      <c r="AE220" s="190"/>
      <c r="AF220" s="190"/>
      <c r="AG220" s="191"/>
      <c r="AH220" s="193"/>
      <c r="AI220" s="190"/>
      <c r="AJ220" s="190"/>
      <c r="AK220" s="374"/>
      <c r="AL220" s="348"/>
      <c r="AM220" s="354"/>
      <c r="AN220" s="354"/>
      <c r="AO220" s="354"/>
      <c r="AP220" s="354"/>
      <c r="AQ220" s="350"/>
      <c r="AR220" s="769"/>
      <c r="AS220" s="769"/>
      <c r="AT220" s="769"/>
      <c r="AW220"/>
      <c r="AX220"/>
      <c r="AY220" s="280"/>
      <c r="AZ220"/>
      <c r="BA220"/>
      <c r="BB220"/>
      <c r="BC220"/>
      <c r="BD220"/>
      <c r="BE220"/>
      <c r="BF220"/>
      <c r="BG220" s="280"/>
      <c r="BH220"/>
      <c r="BI220"/>
      <c r="BJ220"/>
      <c r="BK220"/>
      <c r="BL220"/>
      <c r="BM220"/>
      <c r="BN220"/>
      <c r="BO220"/>
    </row>
    <row r="221" spans="1:67" ht="22.25" customHeight="1">
      <c r="A221" s="181">
        <f t="shared" si="78"/>
        <v>45292</v>
      </c>
      <c r="B221" s="484" t="e">
        <f>DAY(I220)</f>
        <v>#NUM!</v>
      </c>
      <c r="C221" s="489" t="s">
        <v>158</v>
      </c>
      <c r="D221" s="520" t="e">
        <f>(I221*4)+J221/3+1</f>
        <v>#NUM!</v>
      </c>
      <c r="E221" s="194" t="e">
        <f>J223+1</f>
        <v>#NUM!</v>
      </c>
      <c r="F221" s="195" t="e">
        <f t="shared" ref="F221:F228" si="86">DAY(E221)</f>
        <v>#NUM!</v>
      </c>
      <c r="G221" s="196" t="e">
        <f t="shared" ref="G221:G228" si="87">MONTH(E221)</f>
        <v>#NUM!</v>
      </c>
      <c r="H221" s="195" t="e">
        <f t="shared" ref="H221:H228" si="88">YEAR(E221)</f>
        <v>#NUM!</v>
      </c>
      <c r="I221" s="197" t="e">
        <f>H221-(H220+2000)</f>
        <v>#NUM!</v>
      </c>
      <c r="J221" s="198" t="e">
        <f>G221-G220</f>
        <v>#NUM!</v>
      </c>
      <c r="K221" s="506" t="str">
        <f>L219</f>
        <v/>
      </c>
      <c r="L221" s="469"/>
      <c r="M221" s="473" t="e">
        <f ca="1">SUM(J220-E222)&amp;" Tage"</f>
        <v>#NUM!</v>
      </c>
      <c r="N221" s="206"/>
      <c r="O221" s="201"/>
      <c r="P221" s="201"/>
      <c r="Q221" s="202"/>
      <c r="R221" s="189"/>
      <c r="S221" s="203"/>
      <c r="T221" s="203"/>
      <c r="U221" s="204"/>
      <c r="V221" s="192"/>
      <c r="W221" s="203"/>
      <c r="X221" s="203"/>
      <c r="Y221" s="204"/>
      <c r="Z221" s="192"/>
      <c r="AA221" s="203"/>
      <c r="AB221" s="203"/>
      <c r="AC221" s="204"/>
      <c r="AD221" s="192"/>
      <c r="AE221" s="203"/>
      <c r="AF221" s="203"/>
      <c r="AG221" s="204"/>
      <c r="AH221" s="193"/>
      <c r="AI221" s="203"/>
      <c r="AJ221" s="203"/>
      <c r="AK221" s="375"/>
      <c r="AL221" s="348"/>
      <c r="AM221" s="354"/>
      <c r="AN221" s="354"/>
      <c r="AO221" s="354"/>
      <c r="AP221" s="354"/>
      <c r="AQ221" s="350"/>
      <c r="AR221" s="769"/>
      <c r="AS221" s="769"/>
      <c r="AT221" s="769"/>
      <c r="AW221"/>
      <c r="AX221"/>
      <c r="AY221" s="280"/>
      <c r="AZ221"/>
      <c r="BA221"/>
      <c r="BB221"/>
      <c r="BC221"/>
      <c r="BD221"/>
      <c r="BE221"/>
      <c r="BF221"/>
      <c r="BG221" s="280"/>
      <c r="BH221"/>
      <c r="BI221"/>
      <c r="BJ221"/>
      <c r="BK221"/>
      <c r="BL221"/>
      <c r="BM221"/>
      <c r="BN221"/>
      <c r="BO221"/>
    </row>
    <row r="222" spans="1:67" ht="22.25" customHeight="1">
      <c r="A222" s="181">
        <f t="shared" si="78"/>
        <v>45292</v>
      </c>
      <c r="B222" s="485"/>
      <c r="C222" s="490"/>
      <c r="D222" s="521"/>
      <c r="E222" s="194" t="e">
        <f>DATE(YEAR(E221),MONTH(E221)+3,DAY(E221)-1)</f>
        <v>#NUM!</v>
      </c>
      <c r="F222" s="195" t="e">
        <f t="shared" si="86"/>
        <v>#NUM!</v>
      </c>
      <c r="G222" s="196" t="e">
        <f t="shared" si="87"/>
        <v>#NUM!</v>
      </c>
      <c r="H222" s="195" t="e">
        <f t="shared" si="88"/>
        <v>#NUM!</v>
      </c>
      <c r="I222" s="244">
        <v>-1</v>
      </c>
      <c r="J222" s="198" t="e">
        <f>F221-F220</f>
        <v>#NUM!</v>
      </c>
      <c r="K222" s="501" t="str">
        <f t="shared" si="82"/>
        <v>+Inflat.-P</v>
      </c>
      <c r="L222" s="511" t="e">
        <f>IF(M219="Stufe A",IF(AND(L220="Auswahl treffen",D221&gt;=0,D221&lt;=1000),J219,IF(AND(L220="Vermögend und ambulant",D221&gt;8,D221&lt;=1000),130,IF(AND(L220="Vermögend und ambulant",D221&gt;4,D221&lt;=8),158,IF(AND(L220="Vermögend und ambulant",D221&gt;2,D221&lt;=4),192,IF(AND(L220="Vermögend und ambulant",D221&gt;1,D221&lt;=2),208,IF(AND(L220="Vermögend und ambulant",D221&gt;0,D221&lt;=1),298,IF(AND(L220="Vermögend und stationär",D221&gt;8,D221&lt;=1000),78,IF(AND(L220="Vermögend und stationär",D221&gt;4,D221&lt;=8),91,IF(AND(L220="Vermögend und stationär",D221&gt;2,D221&lt;=4),140,IF(AND(L220="Vermögend und stationär",D221&gt;1,D221&lt;=2),158,IF(AND(L220="Vermögend und stationär",D221&gt;0,D221&lt;=1),200,IF(AND(L220="Mittellos und ambulant",D221&gt;8,D221&lt;=1000),105,IF(AND(L220="Mittellos und ambulant",D221&gt;4,D221&lt;=8),122,IF(AND(L220="Mittellos und ambulant",D221&gt;2,D221&lt;=4),151,IF(AND(L220="Mittellos und ambulant",D221&gt;1,D221&lt;=2),170,IF(AND(L220="Mittellos und ambulant",D221&gt;0,D221&lt;=1),208,IF(AND(L220="Mittellos und stationär",D221&gt;8,D221&lt;=1000),62,IF(AND(L220="Mittellos und stationär",D221&gt;4,D221&lt;=8),87,IF(AND(L220="Mittellos und stationär",D221&gt;2,D221&lt;=4),124,IF(AND(L220="Mittellos und stationär",D221&gt;1,D221&lt;=2),129,IF(AND(L220="Mittellos und stationär",D221&gt;0,D221&lt;=1),194,""))))))))))))))))))))),IF(M219="Stufe B",IF(AND(L220="Auswahl treffen",D221&gt;=0,D221&lt;=1000),J219,IF(AND(L220="Vermögend und ambulant",D221&gt;8,D221&lt;=1000),161,IF(AND(L220="Vermögend und ambulant",D221&gt;4,D221&lt;=8),196,IF(AND(L220="Vermögend und ambulant",D221&gt;2,D221&lt;=4),238,IF(AND(L220="Vermögend und ambulant",D221&gt;1,D221&lt;=2),258,IF(AND(L220="Vermögend und ambulant",D221&gt;0,D221&lt;=1),370,IF(AND(L220="Vermögend und stationär",D221&gt;8,D221&lt;=1000),96,IF(AND(L220="Vermögend und stationär",D221&gt;4,D221&lt;=8),113,IF(AND(L220="Vermögend und stationär",D221&gt;2,D221&lt;=4),174,IF(AND(L220="Vermögend und stationär",D221&gt;1,D221&lt;=2),196,IF(AND(L220="Vermögend und stationär",D221&gt;0,D221&lt;=1),249,IF(AND(L220="Mittellos und ambulant",D221&gt;8,D221&lt;=1000),130,IF(AND(L220="Mittellos und ambulant",D221&gt;4,D221&lt;=8),151,IF(AND(L220="Mittellos und ambulant",D221&gt;2,D221&lt;=4),188,IF(AND(L220="Mittellos und ambulant",D221&gt;1,D221&lt;=2),211,IF(AND(L220="Mittellos und ambulant",D221&gt;0,D221&lt;=1),258,IF(AND(L220="Mittellos und stationär",D221&gt;8,D221&lt;=1000),78,IF(AND(L220="Mittellos und stationär",D221&gt;4,D221&lt;=8),107,IF(AND(L220="Mittellos und stationär",D221&gt;2,D221&lt;=4),154,IF(AND(L220="Mittellos und stationär",D221&gt;1,D221&lt;=2),158,IF(AND(L220="Mittellos und stationär",D221&gt;0,D221&lt;=1),241,""))))))))))))))))))))),IF(M219="Stufe C",IF(AND(L220="Auswahl treffen",D221&gt;=0,D221&lt;=1000),J219,IF(AND(L220="Vermögend und ambulant",D221&gt;8,D221&lt;=1000),211,IF(AND(L220="Vermögend und ambulant",D221&gt;4,D221&lt;=8),257,IF(AND(L220="Vermögend und ambulant",D221&gt;2,D221&lt;=4),312,IF(AND(L220="Vermögend und ambulant",D221&gt;1,D221&lt;=2),339,IF(AND(L220="Vermögend und ambulant",D221&gt;0,D221&lt;=1),486,IF(AND(L220="Vermögend und stationär",D221&gt;8,D221&lt;=1000),127,IF(AND(L220="Vermögend und stationär",D221&gt;4,D221&lt;=8),149,IF(AND(L220="Vermögend und stationär",D221&gt;2,D221&lt;=4),229,IF(AND(L220="Vermögend und stationär",D221&gt;1,D221&lt;=2),257,IF(AND(L220="Vermögend und stationär",D221&gt;0,D221&lt;=1),327,IF(AND(L220="Mittellos und ambulant",D221&gt;8,D221&lt;=1000),171,IF(AND(L220="Mittellos und ambulant",D221&gt;4,D221&lt;=8),198,IF(AND(L220="Mittellos und ambulant",D221&gt;2,D221&lt;=4),246,IF(AND(L220="Mittellos und ambulant",D221&gt;1,D221&lt;=2),277,IF(AND(L220="Mittellos und ambulant",D221&gt;0,D221&lt;=1),339,IF(AND(L220="Mittellos und stationär",D221&gt;8,D221&lt;=1000),102,IF(AND(L220="Mittellos und stationär",D221&gt;4,D221&lt;=8),141,IF(AND(L220="Mittellos und stationär",D221&gt;2,D221&lt;=4),202,IF(AND(L220="Mittellos und stationär",D221&gt;1,D221&lt;=2),208,IF(AND(L220="Mittellos und stationär",D221&gt;0,D221&lt;=1),317,""))))))))))))))))))))),"")))*3+(J219*90)</f>
        <v>#NUM!</v>
      </c>
      <c r="M222" s="507" t="str">
        <f>CONCATENATE(K222, K221)</f>
        <v>+Inflat.-P</v>
      </c>
      <c r="N222" s="206" t="s">
        <v>118</v>
      </c>
      <c r="O222" s="207"/>
      <c r="P222" s="207"/>
      <c r="Q222" s="208"/>
      <c r="R222" s="187"/>
      <c r="S222" s="209" t="s">
        <v>118</v>
      </c>
      <c r="T222" s="201" t="s">
        <v>117</v>
      </c>
      <c r="U222" s="210" t="s">
        <v>26</v>
      </c>
      <c r="V222" s="192"/>
      <c r="W222" s="203"/>
      <c r="X222" s="203"/>
      <c r="Y222" s="210"/>
      <c r="Z222" s="192"/>
      <c r="AA222" s="203"/>
      <c r="AB222" s="203"/>
      <c r="AC222" s="210"/>
      <c r="AD222" s="192"/>
      <c r="AE222" s="203"/>
      <c r="AF222" s="203"/>
      <c r="AG222" s="210"/>
      <c r="AH222" s="193"/>
      <c r="AI222" s="203"/>
      <c r="AJ222" s="203"/>
      <c r="AK222" s="376"/>
      <c r="AL222" s="348" t="s">
        <v>148</v>
      </c>
      <c r="AM222" s="354">
        <f>IF(SUM(N220:N228)=SUM(S220:S228), 0, SUM(N220:N228)-SUM(S220:S228))</f>
        <v>0</v>
      </c>
      <c r="AN222" s="354"/>
      <c r="AO222" s="354"/>
      <c r="AP222" s="354"/>
      <c r="AQ222" s="350">
        <f>AM222+AN222+AO222+AP222</f>
        <v>0</v>
      </c>
      <c r="AR222" s="769"/>
      <c r="AS222" s="769"/>
      <c r="AT222" s="769"/>
      <c r="AW222"/>
      <c r="AX222"/>
      <c r="AY222" s="280"/>
      <c r="AZ222"/>
      <c r="BA222"/>
      <c r="BB222"/>
      <c r="BC222"/>
      <c r="BD222"/>
      <c r="BE222"/>
      <c r="BF222"/>
      <c r="BG222" s="280"/>
      <c r="BH222"/>
      <c r="BI222"/>
      <c r="BJ222"/>
      <c r="BK222"/>
      <c r="BL222"/>
      <c r="BM222"/>
      <c r="BN222"/>
      <c r="BO222"/>
    </row>
    <row r="223" spans="1:67" ht="22.25" customHeight="1">
      <c r="A223" s="181">
        <f t="shared" si="78"/>
        <v>45292</v>
      </c>
      <c r="B223" s="484" t="e">
        <f>MONTH(I220)</f>
        <v>#NUM!</v>
      </c>
      <c r="C223" s="489" t="s">
        <v>158</v>
      </c>
      <c r="D223" s="522" t="e">
        <f>D221+1</f>
        <v>#NUM!</v>
      </c>
      <c r="E223" s="211" t="e">
        <f>DATE(YEAR(E222),MONTH(E222),DAY(E222)+1)</f>
        <v>#NUM!</v>
      </c>
      <c r="F223" s="212" t="e">
        <f t="shared" si="86"/>
        <v>#NUM!</v>
      </c>
      <c r="G223" s="213" t="e">
        <f t="shared" si="87"/>
        <v>#NUM!</v>
      </c>
      <c r="H223" s="212" t="e">
        <f t="shared" si="88"/>
        <v>#NUM!</v>
      </c>
      <c r="I223" s="214" t="str">
        <f>IF(D220&lt;&gt;0,"-1T","")</f>
        <v/>
      </c>
      <c r="J223" s="215" t="e">
        <f>DATE($B225,I224,$B221)</f>
        <v>#NUM!</v>
      </c>
      <c r="K223" s="506" t="str">
        <f t="shared" si="82"/>
        <v/>
      </c>
      <c r="L223" s="470"/>
      <c r="M223" s="473" t="e">
        <f ca="1">SUM(J220-E224)&amp;" Tage"</f>
        <v>#NUM!</v>
      </c>
      <c r="N223" s="216"/>
      <c r="O223" s="217"/>
      <c r="P223" s="188"/>
      <c r="Q223" s="217"/>
      <c r="R223" s="189"/>
      <c r="S223" s="190"/>
      <c r="T223" s="190"/>
      <c r="U223" s="191"/>
      <c r="V223" s="192"/>
      <c r="W223" s="190"/>
      <c r="X223" s="190"/>
      <c r="Y223" s="191"/>
      <c r="Z223" s="192"/>
      <c r="AA223" s="190"/>
      <c r="AB223" s="190"/>
      <c r="AC223" s="191"/>
      <c r="AD223" s="192"/>
      <c r="AE223" s="190"/>
      <c r="AF223" s="190"/>
      <c r="AG223" s="191"/>
      <c r="AH223" s="193"/>
      <c r="AI223" s="190"/>
      <c r="AJ223" s="190"/>
      <c r="AK223" s="374"/>
      <c r="AL223" s="348"/>
      <c r="AM223" s="354"/>
      <c r="AN223" s="354"/>
      <c r="AO223" s="354"/>
      <c r="AP223" s="354"/>
      <c r="AQ223" s="350"/>
      <c r="AR223" s="769"/>
      <c r="AS223" s="769"/>
      <c r="AT223" s="769"/>
      <c r="AW223"/>
      <c r="AX223"/>
      <c r="AY223" s="280"/>
      <c r="AZ223"/>
      <c r="BA223"/>
      <c r="BB223"/>
      <c r="BC223"/>
      <c r="BD223"/>
      <c r="BE223"/>
      <c r="BF223"/>
      <c r="BG223" s="280"/>
      <c r="BH223"/>
      <c r="BI223"/>
      <c r="BJ223"/>
      <c r="BK223"/>
      <c r="BL223"/>
      <c r="BM223"/>
      <c r="BN223"/>
      <c r="BO223"/>
    </row>
    <row r="224" spans="1:67" ht="22.25" customHeight="1">
      <c r="A224" s="181">
        <f t="shared" si="78"/>
        <v>45292</v>
      </c>
      <c r="B224" s="485"/>
      <c r="C224" s="490"/>
      <c r="D224" s="521"/>
      <c r="E224" s="218" t="e">
        <f>DATE(YEAR(E223),MONTH(E223)+3,DAY(E223)-1)</f>
        <v>#NUM!</v>
      </c>
      <c r="F224" s="212" t="e">
        <f t="shared" si="86"/>
        <v>#NUM!</v>
      </c>
      <c r="G224" s="213" t="e">
        <f t="shared" si="87"/>
        <v>#NUM!</v>
      </c>
      <c r="H224" s="212" t="e">
        <f t="shared" si="88"/>
        <v>#NUM!</v>
      </c>
      <c r="I224" s="219">
        <f>MAX(I225:I228)</f>
        <v>9</v>
      </c>
      <c r="J224" s="220" t="e">
        <f>DATE(YEAR(J223)+1,MONTH(J223),DAY(J223))</f>
        <v>#NUM!</v>
      </c>
      <c r="K224" s="501" t="str">
        <f t="shared" si="82"/>
        <v>+Inflat.-P</v>
      </c>
      <c r="L224" s="508" t="e">
        <f>IF(M219="Stufe A",IF(AND(L220="Auswahl treffen",D223&gt;=0,D223&lt;=1000),J219,IF(AND(L220="Vermögend und ambulant",D223&gt;8,D223&lt;=1000),130,IF(AND(L220="Vermögend und ambulant",D223&gt;4,D223&lt;=8),158,IF(AND(L220="Vermögend und ambulant",D223&gt;2,D223&lt;=4),192,IF(AND(L220="Vermögend und ambulant",D223&gt;1,D223&lt;=2),208,IF(AND(L220="Vermögend und ambulant",D223&gt;0,D223&lt;=1),298,IF(AND(L220="Vermögend und stationär",D223&gt;8,D223&lt;=1000),78,IF(AND(L220="Vermögend und stationär",D223&gt;4,D223&lt;=8),91,IF(AND(L220="Vermögend und stationär",D223&gt;2,D223&lt;=4),140,IF(AND(L220="Vermögend und stationär",D223&gt;1,D223&lt;=2),158,IF(AND(L220="Vermögend und stationär",D223&gt;0,D223&lt;=1),200,IF(AND(L220="Mittellos und ambulant",D223&gt;8,D223&lt;=1000),105,IF(AND(L220="Mittellos und ambulant",D223&gt;4,D223&lt;=8),122,IF(AND(L220="Mittellos und ambulant",D223&gt;2,D223&lt;=4),151,IF(AND(L220="Mittellos und ambulant",D223&gt;1,D223&lt;=2),170,IF(AND(L220="Mittellos und ambulant",D223&gt;0,D223&lt;=1),208,IF(AND(L220="Mittellos und stationär",D223&gt;8,D223&lt;=1000),62,IF(AND(L220="Mittellos und stationär",D223&gt;4,D223&lt;=8),87,IF(AND(L220="Mittellos und stationär",D223&gt;2,D223&lt;=4),124,IF(AND(L220="Mittellos und stationär",D223&gt;1,D223&lt;=2),129,IF(AND(L220="Mittellos und stationär",D223&gt;0,D223&lt;=1),194,""))))))))))))))))))))),IF(M219="Stufe B",IF(AND(L220="Auswahl treffen",D223&gt;=0,D223&lt;=1000),J219,IF(AND(L220="Vermögend und ambulant",D223&gt;8,D223&lt;=1000),161,IF(AND(L220="Vermögend und ambulant",D223&gt;4,D223&lt;=8),196,IF(AND(L220="Vermögend und ambulant",D223&gt;2,D223&lt;=4),238,IF(AND(L220="Vermögend und ambulant",D223&gt;1,D223&lt;=2),258,IF(AND(L220="Vermögend und ambulant",D223&gt;0,D223&lt;=1),370,IF(AND(L220="Vermögend und stationär",D223&gt;8,D223&lt;=1000),96,IF(AND(L220="Vermögend und stationär",D223&gt;4,D223&lt;=8),113,IF(AND(L220="Vermögend und stationär",D223&gt;2,D223&lt;=4),174,IF(AND(L220="Vermögend und stationär",D223&gt;1,D223&lt;=2),196,IF(AND(L220="Vermögend und stationär",D223&gt;0,D223&lt;=1),249,IF(AND(L220="Mittellos und ambulant",D223&gt;8,D223&lt;=1000),130,IF(AND(L220="Mittellos und ambulant",D223&gt;4,D223&lt;=8),151,IF(AND(L220="Mittellos und ambulant",D223&gt;2,D223&lt;=4),188,IF(AND(L220="Mittellos und ambulant",D223&gt;1,D223&lt;=2),211,IF(AND(L220="Mittellos und ambulant",D223&gt;0,D223&lt;=1),258,IF(AND(L220="Mittellos und stationär",D223&gt;8,D223&lt;=1000),78,IF(AND(L220="Mittellos und stationär",D223&gt;4,D223&lt;=8),107,IF(AND(L220="Mittellos und stationär",D223&gt;2,D223&lt;=4),154,IF(AND(L220="Mittellos und stationär",D223&gt;1,D223&lt;=2),158,IF(AND(L220="Mittellos und stationär",D223&gt;0,D223&lt;=1),241,""))))))))))))))))))))),IF(M219="Stufe C",IF(AND(L220="Auswahl treffen",D223&gt;=0,D223&lt;=1000),J219,IF(AND(L220="Vermögend und ambulant",D223&gt;8,D223&lt;=1000),211,IF(AND(L220="Vermögend und ambulant",D223&gt;4,D223&lt;=8),257,IF(AND(L220="Vermögend und ambulant",D223&gt;2,D223&lt;=4),312,IF(AND(L220="Vermögend und ambulant",D223&gt;1,D223&lt;=2),339,IF(AND(L220="Vermögend und ambulant",D223&gt;0,D223&lt;=1),486,IF(AND(L220="Vermögend und stationär",D223&gt;8,D223&lt;=1000),127,IF(AND(L220="Vermögend und stationär",D223&gt;4,D223&lt;=8),149,IF(AND(L220="Vermögend und stationär",D223&gt;2,D223&lt;=4),229,IF(AND(L220="Vermögend und stationär",D223&gt;1,D223&lt;=2),257,IF(AND(L220="Vermögend und stationär",D223&gt;0,D223&lt;=1),327,IF(AND(L220="Mittellos und ambulant",D223&gt;8,D223&lt;=1000),171,IF(AND(L220="Mittellos und ambulant",D223&gt;4,D223&lt;=8),198,IF(AND(L220="Mittellos und ambulant",D223&gt;2,D223&lt;=4),246,IF(AND(L220="Mittellos und ambulant",D223&gt;1,D223&lt;=2),277,IF(AND(L220="Mittellos und ambulant",D223&gt;0,D223&lt;=1),339,IF(AND(L220="Mittellos und stationär",D223&gt;8,D223&lt;=1000),102,IF(AND(L220="Mittellos und stationär",D223&gt;4,D223&lt;=8),141,IF(AND(L220="Mittellos und stationär",D223&gt;2,D223&lt;=4),202,IF(AND(L220="Mittellos und stationär",D223&gt;1,D223&lt;=2),208,IF(AND(L220="Mittellos und stationär",D223&gt;0,D223&lt;=1),317,""))))))))))))))))))))),"")))*3+(J219*90)</f>
        <v>#NUM!</v>
      </c>
      <c r="M224" s="507" t="str">
        <f>CONCATENATE(K224, K223)</f>
        <v>+Inflat.-P</v>
      </c>
      <c r="N224" s="216"/>
      <c r="O224" s="188" t="s">
        <v>118</v>
      </c>
      <c r="P224" s="188"/>
      <c r="Q224" s="221"/>
      <c r="R224" s="199"/>
      <c r="S224" s="190"/>
      <c r="T224" s="190"/>
      <c r="U224" s="191"/>
      <c r="V224" s="192"/>
      <c r="W224" s="222" t="s">
        <v>118</v>
      </c>
      <c r="X224" s="222" t="s">
        <v>117</v>
      </c>
      <c r="Y224" s="191" t="s">
        <v>26</v>
      </c>
      <c r="Z224" s="192"/>
      <c r="AA224" s="190"/>
      <c r="AB224" s="190"/>
      <c r="AC224" s="191"/>
      <c r="AD224" s="192"/>
      <c r="AE224" s="190"/>
      <c r="AF224" s="190"/>
      <c r="AG224" s="191"/>
      <c r="AH224" s="193"/>
      <c r="AI224" s="190"/>
      <c r="AJ224" s="190"/>
      <c r="AK224" s="374"/>
      <c r="AL224" s="348" t="s">
        <v>149</v>
      </c>
      <c r="AM224" s="354"/>
      <c r="AN224" s="354">
        <f>IF(SUM(O220:O228)=SUM(W220:W228), 0, SUM(O220:O228)-SUM(W220:W228))</f>
        <v>0</v>
      </c>
      <c r="AO224" s="354"/>
      <c r="AP224" s="354"/>
      <c r="AQ224" s="350">
        <f>AM224+AN224+AO224+AP224</f>
        <v>0</v>
      </c>
      <c r="AR224" s="769"/>
      <c r="AS224" s="769"/>
      <c r="AT224" s="769"/>
      <c r="AW224"/>
      <c r="AX224"/>
      <c r="AY224" s="280"/>
      <c r="AZ224"/>
      <c r="BA224"/>
      <c r="BB224"/>
      <c r="BC224"/>
      <c r="BD224"/>
      <c r="BE224"/>
      <c r="BF224"/>
      <c r="BG224" s="280"/>
      <c r="BH224"/>
      <c r="BI224"/>
      <c r="BJ224"/>
      <c r="BK224"/>
      <c r="BL224"/>
      <c r="BM224"/>
      <c r="BN224"/>
      <c r="BO224"/>
    </row>
    <row r="225" spans="1:67" ht="22.25" customHeight="1">
      <c r="A225" s="181">
        <f t="shared" si="78"/>
        <v>45292</v>
      </c>
      <c r="B225" s="484">
        <f>YEAR($A226)-1</f>
        <v>2023</v>
      </c>
      <c r="C225" s="489" t="s">
        <v>158</v>
      </c>
      <c r="D225" s="520" t="e">
        <f>D223+1</f>
        <v>#NUM!</v>
      </c>
      <c r="E225" s="194" t="e">
        <f>DATE(YEAR(E224),MONTH(E224),DAY(E224)+1)</f>
        <v>#NUM!</v>
      </c>
      <c r="F225" s="195" t="e">
        <f t="shared" si="86"/>
        <v>#NUM!</v>
      </c>
      <c r="G225" s="196" t="e">
        <f t="shared" si="87"/>
        <v>#NUM!</v>
      </c>
      <c r="H225" s="195" t="e">
        <f t="shared" si="88"/>
        <v>#NUM!</v>
      </c>
      <c r="I225" s="197">
        <f>IF(J227&lt;13,J227,"")</f>
        <v>9</v>
      </c>
      <c r="J225" s="224">
        <f>G220</f>
        <v>0</v>
      </c>
      <c r="K225" s="506" t="str">
        <f t="shared" si="82"/>
        <v/>
      </c>
      <c r="L225" s="471"/>
      <c r="M225" s="473" t="e">
        <f ca="1">SUM(J220-E226)&amp;" Tage"</f>
        <v>#NUM!</v>
      </c>
      <c r="N225" s="200"/>
      <c r="O225" s="201"/>
      <c r="P225" s="201"/>
      <c r="Q225" s="202"/>
      <c r="R225" s="189"/>
      <c r="S225" s="203"/>
      <c r="T225" s="203"/>
      <c r="U225" s="204"/>
      <c r="V225" s="192"/>
      <c r="W225" s="203"/>
      <c r="X225" s="203"/>
      <c r="Y225" s="204"/>
      <c r="Z225" s="192"/>
      <c r="AA225" s="203"/>
      <c r="AB225" s="203"/>
      <c r="AC225" s="204"/>
      <c r="AD225" s="192"/>
      <c r="AE225" s="203"/>
      <c r="AF225" s="203"/>
      <c r="AG225" s="204"/>
      <c r="AH225" s="193"/>
      <c r="AI225" s="203"/>
      <c r="AJ225" s="203"/>
      <c r="AK225" s="375"/>
      <c r="AL225" s="348"/>
      <c r="AM225" s="354"/>
      <c r="AN225" s="354"/>
      <c r="AO225" s="354"/>
      <c r="AP225" s="354"/>
      <c r="AQ225" s="350"/>
      <c r="AR225" s="769"/>
      <c r="AS225" s="769"/>
      <c r="AT225" s="769"/>
      <c r="AW225"/>
      <c r="AX225"/>
      <c r="AY225" s="280"/>
      <c r="AZ225"/>
      <c r="BA225"/>
      <c r="BB225"/>
      <c r="BC225"/>
      <c r="BD225"/>
      <c r="BE225"/>
      <c r="BF225"/>
      <c r="BG225" s="280"/>
      <c r="BH225"/>
      <c r="BI225"/>
      <c r="BJ225"/>
      <c r="BK225"/>
      <c r="BL225"/>
      <c r="BM225"/>
      <c r="BN225"/>
      <c r="BO225"/>
    </row>
    <row r="226" spans="1:67" ht="22.25" customHeight="1">
      <c r="A226" s="181">
        <f t="shared" si="78"/>
        <v>45292</v>
      </c>
      <c r="B226" s="485"/>
      <c r="C226" s="490"/>
      <c r="D226" s="521"/>
      <c r="E226" s="194" t="e">
        <f>DATE(YEAR(E225),MONTH(E225)+3,DAY(E225)-1)</f>
        <v>#NUM!</v>
      </c>
      <c r="F226" s="195" t="e">
        <f t="shared" si="86"/>
        <v>#NUM!</v>
      </c>
      <c r="G226" s="196" t="e">
        <f t="shared" si="87"/>
        <v>#NUM!</v>
      </c>
      <c r="H226" s="195" t="e">
        <f t="shared" si="88"/>
        <v>#NUM!</v>
      </c>
      <c r="I226" s="244">
        <f>IF(J228&lt;13,J228,"")</f>
        <v>6</v>
      </c>
      <c r="J226" s="224">
        <f>J225+3</f>
        <v>3</v>
      </c>
      <c r="K226" s="501" t="str">
        <f t="shared" si="82"/>
        <v>+Inflat.-P</v>
      </c>
      <c r="L226" s="511" t="e">
        <f>IF(M219="Stufe A",IF(AND(L220="Auswahl treffen",D225&gt;=0,D225&lt;=1000),J219,IF(AND(L220="Vermögend und ambulant",D225&gt;8,D225&lt;=1000),130,IF(AND(L220="Vermögend und ambulant",D225&gt;4,D225&lt;=8),158,IF(AND(L220="Vermögend und ambulant",D225&gt;2,D225&lt;=4),192,IF(AND(L220="Vermögend und ambulant",D225&gt;1,D225&lt;=2),208,IF(AND(L220="Vermögend und ambulant",D225&gt;0,D225&lt;=1),298,IF(AND(L220="Vermögend und stationär",D225&gt;8,D225&lt;=1000),78,IF(AND(L220="Vermögend und stationär",D225&gt;4,D225&lt;=8),91,IF(AND(L220="Vermögend und stationär",D225&gt;2,D225&lt;=4),140,IF(AND(L220="Vermögend und stationär",D225&gt;1,D225&lt;=2),158,IF(AND(L220="Vermögend und stationär",D225&gt;0,D225&lt;=1),200,IF(AND(L220="Mittellos und ambulant",D225&gt;8,D225&lt;=1000),105,IF(AND(L220="Mittellos und ambulant",D225&gt;4,D225&lt;=8),122,IF(AND(L220="Mittellos und ambulant",D225&gt;2,D225&lt;=4),151,IF(AND(L220="Mittellos und ambulant",D225&gt;1,D225&lt;=2),170,IF(AND(L220="Mittellos und ambulant",D225&gt;0,D225&lt;=1),208,IF(AND(L220="Mittellos und stationär",D225&gt;8,D225&lt;=1000),62,IF(AND(L220="Mittellos und stationär",D225&gt;4,D225&lt;=8),87,IF(AND(L220="Mittellos und stationär",D225&gt;2,D225&lt;=4),124,IF(AND(L220="Mittellos und stationär",D225&gt;1,D225&lt;=2),129,IF(AND(L220="Mittellos und stationär",D225&gt;0,D225&lt;=1),194,""))))))))))))))))))))),IF(M219="Stufe B",IF(AND(L220="Auswahl treffen",D225&gt;=0,D225&lt;=1000),J219,IF(AND(L220="Vermögend und ambulant",D225&gt;8,D225&lt;=1000),161,IF(AND(L220="Vermögend und ambulant",D225&gt;4,D225&lt;=8),196,IF(AND(L220="Vermögend und ambulant",D225&gt;2,D225&lt;=4),238,IF(AND(L220="Vermögend und ambulant",D225&gt;1,D225&lt;=2),258,IF(AND(L220="Vermögend und ambulant",D225&gt;0,D225&lt;=1),370,IF(AND(L220="Vermögend und stationär",D225&gt;8,D225&lt;=1000),96,IF(AND(L220="Vermögend und stationär",D225&gt;4,D225&lt;=8),113,IF(AND(L220="Vermögend und stationär",D225&gt;2,D225&lt;=4),174,IF(AND(L220="Vermögend und stationär",D225&gt;1,D225&lt;=2),196,IF(AND(L220="Vermögend und stationär",D225&gt;0,D225&lt;=1),249,IF(AND(L220="Mittellos und ambulant",D225&gt;8,D225&lt;=1000),130,IF(AND(L220="Mittellos und ambulant",D225&gt;4,D225&lt;=8),151,IF(AND(L220="Mittellos und ambulant",D225&gt;2,D225&lt;=4),188,IF(AND(L220="Mittellos und ambulant",D225&gt;1,D225&lt;=2),211,IF(AND(L220="Mittellos und ambulant",D225&gt;0,D225&lt;=1),258,IF(AND(L220="Mittellos und stationär",D225&gt;8,D225&lt;=1000),78,IF(AND(L220="Mittellos und stationär",D225&gt;4,D225&lt;=8),107,IF(AND(L220="Mittellos und stationär",D225&gt;2,D225&lt;=4),154,IF(AND(L220="Mittellos und stationär",D225&gt;1,D225&lt;=2),158,IF(AND(L220="Mittellos und stationär",D225&gt;0,D225&lt;=1),241,""))))))))))))))))))))),IF(M219="Stufe C",IF(AND(L220="Auswahl treffen",D225&gt;=0,D225&lt;=1000),J219,IF(AND(L220="Vermögend und ambulant",D225&gt;8,D225&lt;=1000),211,IF(AND(L220="Vermögend und ambulant",D225&gt;4,D225&lt;=8),257,IF(AND(L220="Vermögend und ambulant",D225&gt;2,D225&lt;=4),312,IF(AND(L220="Vermögend und ambulant",D225&gt;1,D225&lt;=2),339,IF(AND(L220="Vermögend und ambulant",D225&gt;0,D225&lt;=1),486,IF(AND(L220="Vermögend und stationär",D225&gt;8,D225&lt;=1000),127,IF(AND(L220="Vermögend und stationär",D225&gt;4,D225&lt;=8),149,IF(AND(L220="Vermögend und stationär",D225&gt;2,D225&lt;=4),229,IF(AND(L220="Vermögend und stationär",D225&gt;1,D225&lt;=2),257,IF(AND(L220="Vermögend und stationär",D225&gt;0,D225&lt;=1),327,IF(AND(L220="Mittellos und ambulant",D225&gt;8,D225&lt;=1000),171,IF(AND(L220="Mittellos und ambulant",D225&gt;4,D225&lt;=8),198,IF(AND(L220="Mittellos und ambulant",D225&gt;2,D225&lt;=4),246,IF(AND(L220="Mittellos und ambulant",D225&gt;1,D225&lt;=2),277,IF(AND(L220="Mittellos und ambulant",D225&gt;0,D225&lt;=1),339,IF(AND(L220="Mittellos und stationär",D225&gt;8,D225&lt;=1000),102,IF(AND(L220="Mittellos und stationär",D225&gt;4,D225&lt;=8),141,IF(AND(L220="Mittellos und stationär",D225&gt;2,D225&lt;=4),202,IF(AND(L220="Mittellos und stationär",D225&gt;1,D225&lt;=2),208,IF(AND(L220="Mittellos und stationär",D225&gt;0,D225&lt;=1),317,""))))))))))))))))))))),"")))*3+(J219*90)</f>
        <v>#NUM!</v>
      </c>
      <c r="M226" s="507" t="str">
        <f>CONCATENATE(K226, K225)</f>
        <v>+Inflat.-P</v>
      </c>
      <c r="N226" s="206"/>
      <c r="O226" s="207"/>
      <c r="P226" s="206" t="s">
        <v>118</v>
      </c>
      <c r="Q226" s="226"/>
      <c r="R226" s="189"/>
      <c r="S226" s="203"/>
      <c r="T226" s="203"/>
      <c r="U226" s="204"/>
      <c r="V226" s="192"/>
      <c r="W226" s="203"/>
      <c r="X226" s="203"/>
      <c r="Y226" s="204"/>
      <c r="Z226" s="192"/>
      <c r="AA226" s="209" t="s">
        <v>118</v>
      </c>
      <c r="AB226" s="209" t="s">
        <v>117</v>
      </c>
      <c r="AC226" s="204" t="s">
        <v>26</v>
      </c>
      <c r="AD226" s="192"/>
      <c r="AE226" s="203"/>
      <c r="AF226" s="203"/>
      <c r="AG226" s="204"/>
      <c r="AH226" s="193"/>
      <c r="AI226" s="203"/>
      <c r="AJ226" s="203"/>
      <c r="AK226" s="375"/>
      <c r="AL226" s="348" t="s">
        <v>150</v>
      </c>
      <c r="AM226" s="354"/>
      <c r="AN226" s="354"/>
      <c r="AO226" s="354">
        <f>IF(SUM(P220:P228)=SUM(AA220:AA228), 0, SUM(P220:P228)-SUM(AA220:AA228))</f>
        <v>0</v>
      </c>
      <c r="AP226" s="354"/>
      <c r="AQ226" s="350">
        <f>AM226+AN226+AO226+AP226</f>
        <v>0</v>
      </c>
      <c r="AR226" s="769"/>
      <c r="AS226" s="769"/>
      <c r="AT226" s="769"/>
      <c r="AW226"/>
      <c r="AX226"/>
      <c r="AY226" s="280"/>
      <c r="AZ226"/>
      <c r="BA226"/>
      <c r="BB226"/>
      <c r="BC226"/>
      <c r="BD226"/>
      <c r="BE226"/>
      <c r="BF226"/>
      <c r="BG226" s="280"/>
      <c r="BH226"/>
      <c r="BI226"/>
      <c r="BJ226"/>
      <c r="BK226"/>
      <c r="BL226"/>
      <c r="BM226"/>
      <c r="BN226"/>
      <c r="BO226"/>
    </row>
    <row r="227" spans="1:67" ht="22.25" customHeight="1">
      <c r="A227" s="181">
        <f t="shared" si="78"/>
        <v>45292</v>
      </c>
      <c r="B227" s="486"/>
      <c r="C227" s="489" t="s">
        <v>158</v>
      </c>
      <c r="D227" s="522" t="e">
        <f>D225+1</f>
        <v>#NUM!</v>
      </c>
      <c r="E227" s="211" t="e">
        <f>DATE(YEAR(E226),MONTH(E226),DAY(E226)+1)</f>
        <v>#NUM!</v>
      </c>
      <c r="F227" s="227" t="e">
        <f t="shared" si="86"/>
        <v>#NUM!</v>
      </c>
      <c r="G227" s="228" t="e">
        <f t="shared" si="87"/>
        <v>#NUM!</v>
      </c>
      <c r="H227" s="227" t="e">
        <f t="shared" si="88"/>
        <v>#NUM!</v>
      </c>
      <c r="I227" s="231">
        <f>IF(J226&lt;13,J226,"")</f>
        <v>3</v>
      </c>
      <c r="J227" s="230">
        <f>J228+3</f>
        <v>9</v>
      </c>
      <c r="K227" s="506" t="str">
        <f t="shared" si="82"/>
        <v/>
      </c>
      <c r="L227" s="471"/>
      <c r="M227" s="473" t="e">
        <f ca="1">SUM(J220-E228)&amp;" Tage"</f>
        <v>#NUM!</v>
      </c>
      <c r="N227" s="216"/>
      <c r="O227" s="188"/>
      <c r="P227" s="188"/>
      <c r="Q227" s="217"/>
      <c r="R227" s="189"/>
      <c r="S227" s="190"/>
      <c r="T227" s="190"/>
      <c r="U227" s="191"/>
      <c r="V227" s="192"/>
      <c r="W227" s="190"/>
      <c r="X227" s="190"/>
      <c r="Y227" s="191"/>
      <c r="Z227" s="192"/>
      <c r="AA227" s="190"/>
      <c r="AB227" s="190"/>
      <c r="AC227" s="191"/>
      <c r="AD227" s="192"/>
      <c r="AE227" s="190"/>
      <c r="AF227" s="190"/>
      <c r="AG227" s="191"/>
      <c r="AH227" s="193"/>
      <c r="AI227" s="190"/>
      <c r="AJ227" s="190"/>
      <c r="AK227" s="374"/>
      <c r="AL227" s="348"/>
      <c r="AM227" s="354"/>
      <c r="AN227" s="354"/>
      <c r="AO227" s="354"/>
      <c r="AP227" s="354"/>
      <c r="AQ227" s="350"/>
      <c r="AR227" s="769"/>
      <c r="AS227" s="769"/>
      <c r="AT227" s="769"/>
      <c r="AW227"/>
      <c r="AX227"/>
      <c r="AY227" s="280"/>
      <c r="AZ227"/>
      <c r="BA227"/>
      <c r="BB227"/>
      <c r="BC227"/>
      <c r="BD227"/>
      <c r="BE227"/>
      <c r="BF227"/>
      <c r="BG227" s="280"/>
      <c r="BH227"/>
      <c r="BI227"/>
      <c r="BJ227"/>
      <c r="BK227"/>
      <c r="BL227"/>
      <c r="BM227"/>
      <c r="BN227"/>
      <c r="BO227"/>
    </row>
    <row r="228" spans="1:67" ht="22.25" customHeight="1">
      <c r="A228" s="181">
        <f t="shared" si="78"/>
        <v>45292</v>
      </c>
      <c r="B228" s="485"/>
      <c r="C228" s="490"/>
      <c r="D228" s="521"/>
      <c r="E228" s="218" t="e">
        <f>DATE(YEAR(E227),MONTH(E227)+3,DAY(E227)-1)</f>
        <v>#NUM!</v>
      </c>
      <c r="F228" s="227" t="e">
        <f t="shared" si="86"/>
        <v>#NUM!</v>
      </c>
      <c r="G228" s="228" t="e">
        <f t="shared" si="87"/>
        <v>#NUM!</v>
      </c>
      <c r="H228" s="227" t="e">
        <f t="shared" si="88"/>
        <v>#NUM!</v>
      </c>
      <c r="I228" s="231">
        <f>IF(J225&lt;13,J225,"")</f>
        <v>0</v>
      </c>
      <c r="J228" s="230">
        <f>J226+3</f>
        <v>6</v>
      </c>
      <c r="K228" s="501" t="str">
        <f t="shared" si="82"/>
        <v>+Inflat.-P</v>
      </c>
      <c r="L228" s="508" t="e">
        <f>IF(M219="Stufe A",IF(AND(L220="Auswahl treffen",D227&gt;=0,D227&lt;=1000),J219,IF(AND(L220="Vermögend und ambulant",D227&gt;8,D227&lt;=1000),130,IF(AND(L220="Vermögend und ambulant",D227&gt;4,D227&lt;=8),158,IF(AND(L220="Vermögend und ambulant",D227&gt;2,D227&lt;=4),192,IF(AND(L220="Vermögend und ambulant",D227&gt;1,D227&lt;=2),208,IF(AND(L220="Vermögend und ambulant",D227&gt;0,D227&lt;=1),298,IF(AND(L220="Vermögend und stationär",D227&gt;8,D227&lt;=1000),78,IF(AND(L220="Vermögend und stationär",D227&gt;4,D227&lt;=8),91,IF(AND(L220="Vermögend und stationär",D227&gt;2,D227&lt;=4),140,IF(AND(L220="Vermögend und stationär",D227&gt;1,D227&lt;=2),158,IF(AND(L220="Vermögend und stationär",D227&gt;0,D227&lt;=1),200,IF(AND(L220="Mittellos und ambulant",D227&gt;8,D227&lt;=1000),105,IF(AND(L220="Mittellos und ambulant",D227&gt;4,D227&lt;=8),122,IF(AND(L220="Mittellos und ambulant",D227&gt;2,D227&lt;=4),151,IF(AND(L220="Mittellos und ambulant",D227&gt;1,D227&lt;=2),170,IF(AND(L220="Mittellos und ambulant",D227&gt;0,D227&lt;=1),208,IF(AND(L220="Mittellos und stationär",D227&gt;8,D227&lt;=1000),62,IF(AND(L220="Mittellos und stationär",D227&gt;4,D227&lt;=8),87,IF(AND(L220="Mittellos und stationär",D227&gt;2,D227&lt;=4),124,IF(AND(L220="Mittellos und stationär",D227&gt;1,D227&lt;=2),129,IF(AND(L220="Mittellos und stationär",D227&gt;0,D227&lt;=1),194,""))))))))))))))))))))),IF(M219="Stufe B",IF(AND(L220="Auswahl treffen",D227&gt;=0,D227&lt;=1000),J219,IF(AND(L220="Vermögend und ambulant",D227&gt;8,D227&lt;=1000),161,IF(AND(L220="Vermögend und ambulant",D227&gt;4,D227&lt;=8),196,IF(AND(L220="Vermögend und ambulant",D227&gt;2,D227&lt;=4),238,IF(AND(L220="Vermögend und ambulant",D227&gt;1,D227&lt;=2),258,IF(AND(L220="Vermögend und ambulant",D227&gt;0,D227&lt;=1),370,IF(AND(L220="Vermögend und stationär",D227&gt;8,D227&lt;=1000),96,IF(AND(L220="Vermögend und stationär",D227&gt;4,D227&lt;=8),113,IF(AND(L220="Vermögend und stationär",D227&gt;2,D227&lt;=4),174,IF(AND(L220="Vermögend und stationär",D227&gt;1,D227&lt;=2),196,IF(AND(L220="Vermögend und stationär",D227&gt;0,D227&lt;=1),249,IF(AND(L220="Mittellos und ambulant",D227&gt;8,D227&lt;=1000),130,IF(AND(L220="Mittellos und ambulant",D227&gt;4,D227&lt;=8),151,IF(AND(L220="Mittellos und ambulant",D227&gt;2,D227&lt;=4),188,IF(AND(L220="Mittellos und ambulant",D227&gt;1,D227&lt;=2),211,IF(AND(L220="Mittellos und ambulant",D227&gt;0,D227&lt;=1),258,IF(AND(L220="Mittellos und stationär",D227&gt;8,D227&lt;=1000),78,IF(AND(L220="Mittellos und stationär",D227&gt;4,D227&lt;=8),107,IF(AND(L220="Mittellos und stationär",D227&gt;2,D227&lt;=4),154,IF(AND(L220="Mittellos und stationär",D227&gt;1,D227&lt;=2),158,IF(AND(L220="Mittellos und stationär",D227&gt;0,D227&lt;=1),241,""))))))))))))))))))))),IF(M219="Stufe C",IF(AND(L220="Auswahl treffen",D227&gt;=0,D227&lt;=1000),J219,IF(AND(L220="Vermögend und ambulant",D227&gt;8,D227&lt;=1000),211,IF(AND(L220="Vermögend und ambulant",D227&gt;4,D227&lt;=8),257,IF(AND(L220="Vermögend und ambulant",D227&gt;2,D227&lt;=4),312,IF(AND(L220="Vermögend und ambulant",D227&gt;1,D227&lt;=2),339,IF(AND(L220="Vermögend und ambulant",D227&gt;0,D227&lt;=1),486,IF(AND(L220="Vermögend und stationär",D227&gt;8,D227&lt;=1000),127,IF(AND(L220="Vermögend und stationär",D227&gt;4,D227&lt;=8),149,IF(AND(L220="Vermögend und stationär",D227&gt;2,D227&lt;=4),229,IF(AND(L220="Vermögend und stationär",D227&gt;1,D227&lt;=2),257,IF(AND(L220="Vermögend und stationär",D227&gt;0,D227&lt;=1),327,IF(AND(L220="Mittellos und ambulant",D227&gt;8,D227&lt;=1000),171,IF(AND(L220="Mittellos und ambulant",D227&gt;4,D227&lt;=8),198,IF(AND(L220="Mittellos und ambulant",D227&gt;2,D227&lt;=4),246,IF(AND(L220="Mittellos und ambulant",D227&gt;1,D227&lt;=2),277,IF(AND(L220="Mittellos und ambulant",D227&gt;0,D227&lt;=1),339,IF(AND(L220="Mittellos und stationär",D227&gt;8,D227&lt;=1000),102,IF(AND(L220="Mittellos und stationär",D227&gt;4,D227&lt;=8),141,IF(AND(L220="Mittellos und stationär",D227&gt;2,D227&lt;=4),202,IF(AND(L220="Mittellos und stationär",D227&gt;1,D227&lt;=2),208,IF(AND(L220="Mittellos und stationär",D227&gt;0,D227&lt;=1),317,""))))))))))))))))))))),"")))*3+(J219*90)</f>
        <v>#NUM!</v>
      </c>
      <c r="M228" s="507" t="str">
        <f>CONCATENATE(K228, K227)</f>
        <v>+Inflat.-P</v>
      </c>
      <c r="N228" s="216"/>
      <c r="O228" s="188"/>
      <c r="P228" s="188"/>
      <c r="Q228" s="217" t="s">
        <v>118</v>
      </c>
      <c r="R228" s="189"/>
      <c r="S228" s="190"/>
      <c r="T228" s="190"/>
      <c r="U228" s="191"/>
      <c r="V228" s="192"/>
      <c r="W228" s="190"/>
      <c r="X228" s="190"/>
      <c r="Y228" s="191"/>
      <c r="Z228" s="192"/>
      <c r="AA228" s="190"/>
      <c r="AB228" s="190"/>
      <c r="AC228" s="191"/>
      <c r="AD228" s="192"/>
      <c r="AE228" s="190" t="s">
        <v>118</v>
      </c>
      <c r="AF228" s="190" t="s">
        <v>117</v>
      </c>
      <c r="AG228" s="191" t="s">
        <v>26</v>
      </c>
      <c r="AH228" s="193"/>
      <c r="AI228" s="190" t="s">
        <v>118</v>
      </c>
      <c r="AJ228" s="190" t="s">
        <v>117</v>
      </c>
      <c r="AK228" s="374" t="s">
        <v>26</v>
      </c>
      <c r="AL228" s="348" t="s">
        <v>151</v>
      </c>
      <c r="AM228" s="354"/>
      <c r="AN228" s="354"/>
      <c r="AO228" s="354"/>
      <c r="AP228" s="354">
        <f>IF(SUM(Q220:Q228)=SUM(AE220:AE228,AI220:AI228), 0, SUM(Q220:Q228)-SUM(AE220:AE228,AI220:AI228))</f>
        <v>0</v>
      </c>
      <c r="AQ228" s="350">
        <f>AM228+AN228+AO228+AP228</f>
        <v>0</v>
      </c>
      <c r="AR228" s="769"/>
      <c r="AS228" s="769"/>
      <c r="AT228" s="769"/>
      <c r="AW228"/>
      <c r="AX228"/>
      <c r="AY228" s="280"/>
      <c r="AZ228"/>
      <c r="BA228"/>
      <c r="BB228"/>
      <c r="BC228"/>
      <c r="BD228"/>
      <c r="BE228"/>
      <c r="BF228"/>
      <c r="BG228" s="280"/>
      <c r="BH228"/>
      <c r="BI228"/>
      <c r="BJ228"/>
      <c r="BK228"/>
      <c r="BL228"/>
      <c r="BM228"/>
      <c r="BN228"/>
      <c r="BO228"/>
    </row>
    <row r="229" spans="1:67" ht="22" customHeight="1">
      <c r="A229" s="181">
        <f t="shared" si="78"/>
        <v>45292</v>
      </c>
      <c r="B229" s="232" t="s">
        <v>74</v>
      </c>
      <c r="C229" s="233" t="s">
        <v>75</v>
      </c>
      <c r="D229" s="234" t="s">
        <v>76</v>
      </c>
      <c r="E229" s="235" t="s">
        <v>11</v>
      </c>
      <c r="F229" s="235" t="s">
        <v>4</v>
      </c>
      <c r="G229" s="235" t="s">
        <v>5</v>
      </c>
      <c r="H229" s="235" t="s">
        <v>6</v>
      </c>
      <c r="I229" s="236" t="s">
        <v>77</v>
      </c>
      <c r="J229" s="306"/>
      <c r="K229" s="501" t="str">
        <f t="shared" si="82"/>
        <v/>
      </c>
      <c r="L229" s="306" t="str">
        <f>IFERROR(VLOOKUP(B230,'Aktuelle Einnahmen'!A2:J104,10,0),"")</f>
        <v/>
      </c>
      <c r="M229" s="510" t="str">
        <f>M219</f>
        <v>Stufe C</v>
      </c>
      <c r="N229" s="237"/>
      <c r="O229" s="238"/>
      <c r="P229" s="238"/>
      <c r="Q229" s="239"/>
      <c r="R229" s="240"/>
      <c r="S229" s="241"/>
      <c r="T229" s="241"/>
      <c r="U229" s="242"/>
      <c r="V229" s="243"/>
      <c r="W229" s="241"/>
      <c r="X229" s="241"/>
      <c r="Y229" s="242"/>
      <c r="Z229" s="243"/>
      <c r="AA229" s="241"/>
      <c r="AB229" s="241"/>
      <c r="AC229" s="242"/>
      <c r="AD229" s="243"/>
      <c r="AE229" s="241"/>
      <c r="AF229" s="241"/>
      <c r="AG229" s="242"/>
      <c r="AH229" s="240"/>
      <c r="AI229" s="241"/>
      <c r="AJ229" s="241"/>
      <c r="AK229" s="377"/>
      <c r="AL229" s="347"/>
      <c r="AM229" s="353"/>
      <c r="AN229" s="353"/>
      <c r="AO229" s="353"/>
      <c r="AP229" s="353"/>
      <c r="AQ229" s="349"/>
      <c r="AR229" s="768"/>
      <c r="AS229" s="768"/>
      <c r="AT229" s="768"/>
      <c r="AW229"/>
      <c r="AX229"/>
      <c r="AY229" s="280"/>
      <c r="AZ229"/>
      <c r="BA229"/>
      <c r="BB229"/>
      <c r="BC229"/>
      <c r="BD229"/>
      <c r="BE229"/>
      <c r="BF229"/>
      <c r="BG229" s="280"/>
      <c r="BH229"/>
      <c r="BI229"/>
      <c r="BJ229"/>
      <c r="BK229"/>
      <c r="BL229"/>
      <c r="BM229"/>
      <c r="BN229"/>
      <c r="BO229"/>
    </row>
    <row r="230" spans="1:67" ht="23" customHeight="1">
      <c r="A230" s="181">
        <f t="shared" si="78"/>
        <v>45292</v>
      </c>
      <c r="B230" s="182">
        <v>23</v>
      </c>
      <c r="C230" s="245">
        <f>IFERROR(VLOOKUP($B230,'Aktuelle Einnahmen'!A2:G104,3,0),"")</f>
        <v>0</v>
      </c>
      <c r="D230" s="246">
        <f>IFERROR(VLOOKUP($B230,'Aktuelle Einnahmen'!A2:G104,2,0),"")</f>
        <v>0</v>
      </c>
      <c r="E230" s="247">
        <f>IFERROR(VLOOKUP($B230,'Aktuelle Einnahmen'!A2:G104,4,0),"")</f>
        <v>0</v>
      </c>
      <c r="F230" s="94">
        <f>IFERROR(VLOOKUP($B230,'Aktuelle Einnahmen'!A2:G104,5,0),"")</f>
        <v>0</v>
      </c>
      <c r="G230" s="94">
        <f>IFERROR(VLOOKUP($B230,'Aktuelle Einnahmen'!A2:G104,6,0),"")</f>
        <v>0</v>
      </c>
      <c r="H230" s="94">
        <f>IFERROR(VLOOKUP($B230,'Aktuelle Einnahmen'!A2:G104,7,0),"")</f>
        <v>0</v>
      </c>
      <c r="I230" s="186" t="e">
        <f>DATE(H230,G230,F230)</f>
        <v>#NUM!</v>
      </c>
      <c r="J230" s="472">
        <f ca="1">J220</f>
        <v>45475</v>
      </c>
      <c r="K230" s="506" t="str">
        <f t="shared" si="82"/>
        <v>+Inflat.-P</v>
      </c>
      <c r="L230" s="1262" t="str">
        <f>IFERROR(VLOOKUP(B230,'Aktuelle Einnahmen'!A12:I114,9,0),"")</f>
        <v>Auswahl treffen</v>
      </c>
      <c r="M230" s="1263"/>
      <c r="N230" s="261"/>
      <c r="O230" s="261"/>
      <c r="P230" s="261"/>
      <c r="Q230" s="261"/>
      <c r="R230" s="189"/>
      <c r="S230" s="190"/>
      <c r="T230" s="190"/>
      <c r="U230" s="191"/>
      <c r="V230" s="192"/>
      <c r="W230" s="190"/>
      <c r="X230" s="190"/>
      <c r="Y230" s="191"/>
      <c r="Z230" s="192"/>
      <c r="AA230" s="190"/>
      <c r="AB230" s="190"/>
      <c r="AC230" s="191"/>
      <c r="AD230" s="192"/>
      <c r="AE230" s="190"/>
      <c r="AF230" s="190"/>
      <c r="AG230" s="191"/>
      <c r="AH230" s="193"/>
      <c r="AI230" s="190"/>
      <c r="AJ230" s="190"/>
      <c r="AK230" s="374"/>
      <c r="AL230" s="348"/>
      <c r="AM230" s="354"/>
      <c r="AN230" s="354"/>
      <c r="AO230" s="354"/>
      <c r="AP230" s="354"/>
      <c r="AQ230" s="350"/>
      <c r="AR230" s="769"/>
      <c r="AS230" s="769"/>
      <c r="AT230" s="769"/>
      <c r="AW230"/>
      <c r="AX230"/>
      <c r="AY230" s="280"/>
      <c r="AZ230"/>
      <c r="BA230"/>
      <c r="BB230"/>
      <c r="BC230"/>
      <c r="BD230"/>
      <c r="BE230"/>
      <c r="BF230"/>
      <c r="BG230" s="280"/>
      <c r="BH230"/>
      <c r="BI230"/>
      <c r="BJ230"/>
      <c r="BK230"/>
      <c r="BL230"/>
      <c r="BM230"/>
      <c r="BN230"/>
      <c r="BO230"/>
    </row>
    <row r="231" spans="1:67" ht="22.25" customHeight="1">
      <c r="A231" s="181">
        <f t="shared" si="78"/>
        <v>45292</v>
      </c>
      <c r="B231" s="484" t="e">
        <f>DAY(I230)</f>
        <v>#NUM!</v>
      </c>
      <c r="C231" s="489" t="s">
        <v>158</v>
      </c>
      <c r="D231" s="520" t="e">
        <f>(I231*4)+J231/3+1</f>
        <v>#NUM!</v>
      </c>
      <c r="E231" s="194" t="e">
        <f>J233+1</f>
        <v>#NUM!</v>
      </c>
      <c r="F231" s="195" t="e">
        <f t="shared" ref="F231:F238" si="89">DAY(E231)</f>
        <v>#NUM!</v>
      </c>
      <c r="G231" s="196" t="e">
        <f t="shared" ref="G231:G238" si="90">MONTH(E231)</f>
        <v>#NUM!</v>
      </c>
      <c r="H231" s="195" t="e">
        <f t="shared" ref="H231:H238" si="91">YEAR(E231)</f>
        <v>#NUM!</v>
      </c>
      <c r="I231" s="197" t="e">
        <f>H231-(H230+2000)</f>
        <v>#NUM!</v>
      </c>
      <c r="J231" s="198" t="e">
        <f>G231-G230</f>
        <v>#NUM!</v>
      </c>
      <c r="K231" s="506" t="str">
        <f>L229</f>
        <v/>
      </c>
      <c r="L231" s="469"/>
      <c r="M231" s="473" t="e">
        <f ca="1">SUM(J230-E232)&amp;" Tage"</f>
        <v>#NUM!</v>
      </c>
      <c r="N231" s="206"/>
      <c r="O231" s="201"/>
      <c r="P231" s="201"/>
      <c r="Q231" s="202"/>
      <c r="R231" s="189"/>
      <c r="S231" s="203"/>
      <c r="T231" s="203"/>
      <c r="U231" s="204"/>
      <c r="V231" s="192"/>
      <c r="W231" s="203"/>
      <c r="X231" s="203"/>
      <c r="Y231" s="204"/>
      <c r="Z231" s="192"/>
      <c r="AA231" s="203"/>
      <c r="AB231" s="203"/>
      <c r="AC231" s="204"/>
      <c r="AD231" s="192"/>
      <c r="AE231" s="203"/>
      <c r="AF231" s="203"/>
      <c r="AG231" s="204"/>
      <c r="AH231" s="193"/>
      <c r="AI231" s="203"/>
      <c r="AJ231" s="203"/>
      <c r="AK231" s="375"/>
      <c r="AL231" s="348"/>
      <c r="AM231" s="354"/>
      <c r="AN231" s="354"/>
      <c r="AO231" s="354"/>
      <c r="AP231" s="354"/>
      <c r="AQ231" s="350"/>
      <c r="AR231" s="769"/>
      <c r="AS231" s="769"/>
      <c r="AT231" s="769"/>
      <c r="AW231"/>
      <c r="AX231"/>
      <c r="AY231" s="280"/>
      <c r="AZ231"/>
      <c r="BA231"/>
      <c r="BB231"/>
      <c r="BC231"/>
      <c r="BD231"/>
      <c r="BE231"/>
      <c r="BF231"/>
      <c r="BG231" s="280"/>
      <c r="BH231"/>
      <c r="BI231"/>
      <c r="BJ231"/>
      <c r="BK231"/>
      <c r="BL231"/>
      <c r="BM231"/>
      <c r="BN231"/>
      <c r="BO231"/>
    </row>
    <row r="232" spans="1:67" ht="22.25" customHeight="1">
      <c r="A232" s="181">
        <f t="shared" si="78"/>
        <v>45292</v>
      </c>
      <c r="B232" s="485"/>
      <c r="C232" s="490"/>
      <c r="D232" s="521"/>
      <c r="E232" s="194" t="e">
        <f>DATE(YEAR(E231),MONTH(E231)+3,DAY(E231)-1)</f>
        <v>#NUM!</v>
      </c>
      <c r="F232" s="195" t="e">
        <f t="shared" si="89"/>
        <v>#NUM!</v>
      </c>
      <c r="G232" s="196" t="e">
        <f t="shared" si="90"/>
        <v>#NUM!</v>
      </c>
      <c r="H232" s="195" t="e">
        <f t="shared" si="91"/>
        <v>#NUM!</v>
      </c>
      <c r="I232" s="244">
        <v>-1</v>
      </c>
      <c r="J232" s="198" t="e">
        <f>F231-F230</f>
        <v>#NUM!</v>
      </c>
      <c r="K232" s="506" t="str">
        <f t="shared" si="82"/>
        <v>+Inflat.-P</v>
      </c>
      <c r="L232" s="511" t="e">
        <f>IF(M229="Stufe A",IF(AND(L230="Auswahl treffen",D231&gt;=0,D231&lt;=1000),J229,IF(AND(L230="Vermögend und ambulant",D231&gt;8,D231&lt;=1000),130,IF(AND(L230="Vermögend und ambulant",D231&gt;4,D231&lt;=8),158,IF(AND(L230="Vermögend und ambulant",D231&gt;2,D231&lt;=4),192,IF(AND(L230="Vermögend und ambulant",D231&gt;1,D231&lt;=2),208,IF(AND(L230="Vermögend und ambulant",D231&gt;0,D231&lt;=1),298,IF(AND(L230="Vermögend und stationär",D231&gt;8,D231&lt;=1000),78,IF(AND(L230="Vermögend und stationär",D231&gt;4,D231&lt;=8),91,IF(AND(L230="Vermögend und stationär",D231&gt;2,D231&lt;=4),140,IF(AND(L230="Vermögend und stationär",D231&gt;1,D231&lt;=2),158,IF(AND(L230="Vermögend und stationär",D231&gt;0,D231&lt;=1),200,IF(AND(L230="Mittellos und ambulant",D231&gt;8,D231&lt;=1000),105,IF(AND(L230="Mittellos und ambulant",D231&gt;4,D231&lt;=8),122,IF(AND(L230="Mittellos und ambulant",D231&gt;2,D231&lt;=4),151,IF(AND(L230="Mittellos und ambulant",D231&gt;1,D231&lt;=2),170,IF(AND(L230="Mittellos und ambulant",D231&gt;0,D231&lt;=1),208,IF(AND(L230="Mittellos und stationär",D231&gt;8,D231&lt;=1000),62,IF(AND(L230="Mittellos und stationär",D231&gt;4,D231&lt;=8),87,IF(AND(L230="Mittellos und stationär",D231&gt;2,D231&lt;=4),124,IF(AND(L230="Mittellos und stationär",D231&gt;1,D231&lt;=2),129,IF(AND(L230="Mittellos und stationär",D231&gt;0,D231&lt;=1),194,""))))))))))))))))))))),IF(M229="Stufe B",IF(AND(L230="Auswahl treffen",D231&gt;=0,D231&lt;=1000),J229,IF(AND(L230="Vermögend und ambulant",D231&gt;8,D231&lt;=1000),161,IF(AND(L230="Vermögend und ambulant",D231&gt;4,D231&lt;=8),196,IF(AND(L230="Vermögend und ambulant",D231&gt;2,D231&lt;=4),238,IF(AND(L230="Vermögend und ambulant",D231&gt;1,D231&lt;=2),258,IF(AND(L230="Vermögend und ambulant",D231&gt;0,D231&lt;=1),370,IF(AND(L230="Vermögend und stationär",D231&gt;8,D231&lt;=1000),96,IF(AND(L230="Vermögend und stationär",D231&gt;4,D231&lt;=8),113,IF(AND(L230="Vermögend und stationär",D231&gt;2,D231&lt;=4),174,IF(AND(L230="Vermögend und stationär",D231&gt;1,D231&lt;=2),196,IF(AND(L230="Vermögend und stationär",D231&gt;0,D231&lt;=1),249,IF(AND(L230="Mittellos und ambulant",D231&gt;8,D231&lt;=1000),130,IF(AND(L230="Mittellos und ambulant",D231&gt;4,D231&lt;=8),151,IF(AND(L230="Mittellos und ambulant",D231&gt;2,D231&lt;=4),188,IF(AND(L230="Mittellos und ambulant",D231&gt;1,D231&lt;=2),211,IF(AND(L230="Mittellos und ambulant",D231&gt;0,D231&lt;=1),258,IF(AND(L230="Mittellos und stationär",D231&gt;8,D231&lt;=1000),78,IF(AND(L230="Mittellos und stationär",D231&gt;4,D231&lt;=8),107,IF(AND(L230="Mittellos und stationär",D231&gt;2,D231&lt;=4),154,IF(AND(L230="Mittellos und stationär",D231&gt;1,D231&lt;=2),158,IF(AND(L230="Mittellos und stationär",D231&gt;0,D231&lt;=1),241,""))))))))))))))))))))),IF(M229="Stufe C",IF(AND(L230="Auswahl treffen",D231&gt;=0,D231&lt;=1000),J229,IF(AND(L230="Vermögend und ambulant",D231&gt;8,D231&lt;=1000),211,IF(AND(L230="Vermögend und ambulant",D231&gt;4,D231&lt;=8),257,IF(AND(L230="Vermögend und ambulant",D231&gt;2,D231&lt;=4),312,IF(AND(L230="Vermögend und ambulant",D231&gt;1,D231&lt;=2),339,IF(AND(L230="Vermögend und ambulant",D231&gt;0,D231&lt;=1),486,IF(AND(L230="Vermögend und stationär",D231&gt;8,D231&lt;=1000),127,IF(AND(L230="Vermögend und stationär",D231&gt;4,D231&lt;=8),149,IF(AND(L230="Vermögend und stationär",D231&gt;2,D231&lt;=4),229,IF(AND(L230="Vermögend und stationär",D231&gt;1,D231&lt;=2),257,IF(AND(L230="Vermögend und stationär",D231&gt;0,D231&lt;=1),327,IF(AND(L230="Mittellos und ambulant",D231&gt;8,D231&lt;=1000),171,IF(AND(L230="Mittellos und ambulant",D231&gt;4,D231&lt;=8),198,IF(AND(L230="Mittellos und ambulant",D231&gt;2,D231&lt;=4),246,IF(AND(L230="Mittellos und ambulant",D231&gt;1,D231&lt;=2),277,IF(AND(L230="Mittellos und ambulant",D231&gt;0,D231&lt;=1),339,IF(AND(L230="Mittellos und stationär",D231&gt;8,D231&lt;=1000),102,IF(AND(L230="Mittellos und stationär",D231&gt;4,D231&lt;=8),141,IF(AND(L230="Mittellos und stationär",D231&gt;2,D231&lt;=4),202,IF(AND(L230="Mittellos und stationär",D231&gt;1,D231&lt;=2),208,IF(AND(L230="Mittellos und stationär",D231&gt;0,D231&lt;=1),317,""))))))))))))))))))))),"")))*3+(J229*90)</f>
        <v>#NUM!</v>
      </c>
      <c r="M232" s="507" t="str">
        <f>CONCATENATE(K232, K231)</f>
        <v>+Inflat.-P</v>
      </c>
      <c r="N232" s="206" t="s">
        <v>118</v>
      </c>
      <c r="O232" s="207"/>
      <c r="P232" s="207"/>
      <c r="Q232" s="208"/>
      <c r="R232" s="187"/>
      <c r="S232" s="209" t="s">
        <v>118</v>
      </c>
      <c r="T232" s="201" t="s">
        <v>117</v>
      </c>
      <c r="U232" s="210" t="s">
        <v>26</v>
      </c>
      <c r="V232" s="192"/>
      <c r="W232" s="203"/>
      <c r="X232" s="203"/>
      <c r="Y232" s="210"/>
      <c r="Z232" s="192"/>
      <c r="AA232" s="203"/>
      <c r="AB232" s="203"/>
      <c r="AC232" s="210"/>
      <c r="AD232" s="192"/>
      <c r="AE232" s="203"/>
      <c r="AF232" s="203"/>
      <c r="AG232" s="210"/>
      <c r="AH232" s="193"/>
      <c r="AI232" s="203"/>
      <c r="AJ232" s="203"/>
      <c r="AK232" s="376"/>
      <c r="AL232" s="348" t="s">
        <v>148</v>
      </c>
      <c r="AM232" s="354">
        <f>IF(SUM(N230:N238)=SUM(S230:S238), 0, SUM(N230:N238)-SUM(S230:S238))</f>
        <v>0</v>
      </c>
      <c r="AN232" s="354"/>
      <c r="AO232" s="354"/>
      <c r="AP232" s="354"/>
      <c r="AQ232" s="350">
        <f>AM232+AN232+AO232+AP232</f>
        <v>0</v>
      </c>
      <c r="AR232" s="769"/>
      <c r="AS232" s="769"/>
      <c r="AT232" s="769"/>
      <c r="AW232"/>
      <c r="AX232"/>
      <c r="AY232" s="280"/>
      <c r="AZ232"/>
      <c r="BA232"/>
      <c r="BB232"/>
      <c r="BC232"/>
      <c r="BD232"/>
      <c r="BE232"/>
      <c r="BF232"/>
      <c r="BG232" s="280"/>
      <c r="BH232"/>
      <c r="BI232"/>
      <c r="BJ232"/>
      <c r="BK232"/>
      <c r="BL232"/>
      <c r="BM232"/>
      <c r="BN232"/>
      <c r="BO232"/>
    </row>
    <row r="233" spans="1:67" ht="22.25" customHeight="1">
      <c r="A233" s="181">
        <f t="shared" si="78"/>
        <v>45292</v>
      </c>
      <c r="B233" s="484" t="e">
        <f>MONTH(I230)</f>
        <v>#NUM!</v>
      </c>
      <c r="C233" s="489" t="s">
        <v>158</v>
      </c>
      <c r="D233" s="522" t="e">
        <f>D231+1</f>
        <v>#NUM!</v>
      </c>
      <c r="E233" s="211" t="e">
        <f>DATE(YEAR(E232),MONTH(E232),DAY(E232)+1)</f>
        <v>#NUM!</v>
      </c>
      <c r="F233" s="212" t="e">
        <f t="shared" si="89"/>
        <v>#NUM!</v>
      </c>
      <c r="G233" s="213" t="e">
        <f t="shared" si="90"/>
        <v>#NUM!</v>
      </c>
      <c r="H233" s="212" t="e">
        <f t="shared" si="91"/>
        <v>#NUM!</v>
      </c>
      <c r="I233" s="214" t="str">
        <f>IF(D230&lt;&gt;0,"-1T","")</f>
        <v/>
      </c>
      <c r="J233" s="215" t="e">
        <f>DATE($B235,I234,$B231)</f>
        <v>#NUM!</v>
      </c>
      <c r="K233" s="501" t="str">
        <f t="shared" si="82"/>
        <v/>
      </c>
      <c r="L233" s="470"/>
      <c r="M233" s="473" t="e">
        <f ca="1">SUM(J230-E234)&amp;" Tage"</f>
        <v>#NUM!</v>
      </c>
      <c r="N233" s="216"/>
      <c r="O233" s="217"/>
      <c r="P233" s="188"/>
      <c r="Q233" s="217"/>
      <c r="R233" s="189"/>
      <c r="S233" s="190"/>
      <c r="T233" s="190"/>
      <c r="U233" s="191"/>
      <c r="V233" s="192"/>
      <c r="W233" s="190"/>
      <c r="X233" s="190"/>
      <c r="Y233" s="191"/>
      <c r="Z233" s="192"/>
      <c r="AA233" s="190"/>
      <c r="AB233" s="190"/>
      <c r="AC233" s="191"/>
      <c r="AD233" s="192"/>
      <c r="AE233" s="190"/>
      <c r="AF233" s="190"/>
      <c r="AG233" s="191"/>
      <c r="AH233" s="193"/>
      <c r="AI233" s="190"/>
      <c r="AJ233" s="190"/>
      <c r="AK233" s="374"/>
      <c r="AL233" s="348"/>
      <c r="AM233" s="354"/>
      <c r="AN233" s="354"/>
      <c r="AO233" s="354"/>
      <c r="AP233" s="354"/>
      <c r="AQ233" s="350"/>
      <c r="AR233" s="769"/>
      <c r="AS233" s="769"/>
      <c r="AT233" s="769"/>
      <c r="AW233"/>
      <c r="AX233"/>
      <c r="AY233" s="280"/>
      <c r="AZ233"/>
      <c r="BA233"/>
      <c r="BB233"/>
      <c r="BC233"/>
      <c r="BD233"/>
      <c r="BE233"/>
      <c r="BF233"/>
      <c r="BG233" s="280"/>
      <c r="BH233"/>
      <c r="BI233"/>
      <c r="BJ233"/>
      <c r="BK233"/>
      <c r="BL233"/>
      <c r="BM233"/>
      <c r="BN233"/>
      <c r="BO233"/>
    </row>
    <row r="234" spans="1:67" ht="22.25" customHeight="1">
      <c r="A234" s="181">
        <f t="shared" si="78"/>
        <v>45292</v>
      </c>
      <c r="B234" s="485"/>
      <c r="C234" s="490"/>
      <c r="D234" s="521"/>
      <c r="E234" s="218" t="e">
        <f>DATE(YEAR(E233),MONTH(E233)+3,DAY(E233)-1)</f>
        <v>#NUM!</v>
      </c>
      <c r="F234" s="212" t="e">
        <f t="shared" si="89"/>
        <v>#NUM!</v>
      </c>
      <c r="G234" s="213" t="e">
        <f t="shared" si="90"/>
        <v>#NUM!</v>
      </c>
      <c r="H234" s="212" t="e">
        <f t="shared" si="91"/>
        <v>#NUM!</v>
      </c>
      <c r="I234" s="219">
        <f>MAX(I235:I238)</f>
        <v>9</v>
      </c>
      <c r="J234" s="220" t="e">
        <f>DATE(YEAR(J233)+1,MONTH(J233),DAY(J233))</f>
        <v>#NUM!</v>
      </c>
      <c r="K234" s="506" t="str">
        <f t="shared" si="82"/>
        <v>+Inflat.-P</v>
      </c>
      <c r="L234" s="508" t="e">
        <f>IF(M229="Stufe A",IF(AND(L230="Auswahl treffen",D233&gt;=0,D233&lt;=1000),J229,IF(AND(L230="Vermögend und ambulant",D233&gt;8,D233&lt;=1000),130,IF(AND(L230="Vermögend und ambulant",D233&gt;4,D233&lt;=8),158,IF(AND(L230="Vermögend und ambulant",D233&gt;2,D233&lt;=4),192,IF(AND(L230="Vermögend und ambulant",D233&gt;1,D233&lt;=2),208,IF(AND(L230="Vermögend und ambulant",D233&gt;0,D233&lt;=1),298,IF(AND(L230="Vermögend und stationär",D233&gt;8,D233&lt;=1000),78,IF(AND(L230="Vermögend und stationär",D233&gt;4,D233&lt;=8),91,IF(AND(L230="Vermögend und stationär",D233&gt;2,D233&lt;=4),140,IF(AND(L230="Vermögend und stationär",D233&gt;1,D233&lt;=2),158,IF(AND(L230="Vermögend und stationär",D233&gt;0,D233&lt;=1),200,IF(AND(L230="Mittellos und ambulant",D233&gt;8,D233&lt;=1000),105,IF(AND(L230="Mittellos und ambulant",D233&gt;4,D233&lt;=8),122,IF(AND(L230="Mittellos und ambulant",D233&gt;2,D233&lt;=4),151,IF(AND(L230="Mittellos und ambulant",D233&gt;1,D233&lt;=2),170,IF(AND(L230="Mittellos und ambulant",D233&gt;0,D233&lt;=1),208,IF(AND(L230="Mittellos und stationär",D233&gt;8,D233&lt;=1000),62,IF(AND(L230="Mittellos und stationär",D233&gt;4,D233&lt;=8),87,IF(AND(L230="Mittellos und stationär",D233&gt;2,D233&lt;=4),124,IF(AND(L230="Mittellos und stationär",D233&gt;1,D233&lt;=2),129,IF(AND(L230="Mittellos und stationär",D233&gt;0,D233&lt;=1),194,""))))))))))))))))))))),IF(M229="Stufe B",IF(AND(L230="Auswahl treffen",D233&gt;=0,D233&lt;=1000),J229,IF(AND(L230="Vermögend und ambulant",D233&gt;8,D233&lt;=1000),161,IF(AND(L230="Vermögend und ambulant",D233&gt;4,D233&lt;=8),196,IF(AND(L230="Vermögend und ambulant",D233&gt;2,D233&lt;=4),238,IF(AND(L230="Vermögend und ambulant",D233&gt;1,D233&lt;=2),258,IF(AND(L230="Vermögend und ambulant",D233&gt;0,D233&lt;=1),370,IF(AND(L230="Vermögend und stationär",D233&gt;8,D233&lt;=1000),96,IF(AND(L230="Vermögend und stationär",D233&gt;4,D233&lt;=8),113,IF(AND(L230="Vermögend und stationär",D233&gt;2,D233&lt;=4),174,IF(AND(L230="Vermögend und stationär",D233&gt;1,D233&lt;=2),196,IF(AND(L230="Vermögend und stationär",D233&gt;0,D233&lt;=1),249,IF(AND(L230="Mittellos und ambulant",D233&gt;8,D233&lt;=1000),130,IF(AND(L230="Mittellos und ambulant",D233&gt;4,D233&lt;=8),151,IF(AND(L230="Mittellos und ambulant",D233&gt;2,D233&lt;=4),188,IF(AND(L230="Mittellos und ambulant",D233&gt;1,D233&lt;=2),211,IF(AND(L230="Mittellos und ambulant",D233&gt;0,D233&lt;=1),258,IF(AND(L230="Mittellos und stationär",D233&gt;8,D233&lt;=1000),78,IF(AND(L230="Mittellos und stationär",D233&gt;4,D233&lt;=8),107,IF(AND(L230="Mittellos und stationär",D233&gt;2,D233&lt;=4),154,IF(AND(L230="Mittellos und stationär",D233&gt;1,D233&lt;=2),158,IF(AND(L230="Mittellos und stationär",D233&gt;0,D233&lt;=1),241,""))))))))))))))))))))),IF(M229="Stufe C",IF(AND(L230="Auswahl treffen",D233&gt;=0,D233&lt;=1000),J229,IF(AND(L230="Vermögend und ambulant",D233&gt;8,D233&lt;=1000),211,IF(AND(L230="Vermögend und ambulant",D233&gt;4,D233&lt;=8),257,IF(AND(L230="Vermögend und ambulant",D233&gt;2,D233&lt;=4),312,IF(AND(L230="Vermögend und ambulant",D233&gt;1,D233&lt;=2),339,IF(AND(L230="Vermögend und ambulant",D233&gt;0,D233&lt;=1),486,IF(AND(L230="Vermögend und stationär",D233&gt;8,D233&lt;=1000),127,IF(AND(L230="Vermögend und stationär",D233&gt;4,D233&lt;=8),149,IF(AND(L230="Vermögend und stationär",D233&gt;2,D233&lt;=4),229,IF(AND(L230="Vermögend und stationär",D233&gt;1,D233&lt;=2),257,IF(AND(L230="Vermögend und stationär",D233&gt;0,D233&lt;=1),327,IF(AND(L230="Mittellos und ambulant",D233&gt;8,D233&lt;=1000),171,IF(AND(L230="Mittellos und ambulant",D233&gt;4,D233&lt;=8),198,IF(AND(L230="Mittellos und ambulant",D233&gt;2,D233&lt;=4),246,IF(AND(L230="Mittellos und ambulant",D233&gt;1,D233&lt;=2),277,IF(AND(L230="Mittellos und ambulant",D233&gt;0,D233&lt;=1),339,IF(AND(L230="Mittellos und stationär",D233&gt;8,D233&lt;=1000),102,IF(AND(L230="Mittellos und stationär",D233&gt;4,D233&lt;=8),141,IF(AND(L230="Mittellos und stationär",D233&gt;2,D233&lt;=4),202,IF(AND(L230="Mittellos und stationär",D233&gt;1,D233&lt;=2),208,IF(AND(L230="Mittellos und stationär",D233&gt;0,D233&lt;=1),317,""))))))))))))))))))))),"")))*3+(J229*90)</f>
        <v>#NUM!</v>
      </c>
      <c r="M234" s="507" t="str">
        <f>CONCATENATE(K234, K233)</f>
        <v>+Inflat.-P</v>
      </c>
      <c r="N234" s="216"/>
      <c r="O234" s="188" t="s">
        <v>118</v>
      </c>
      <c r="P234" s="188"/>
      <c r="Q234" s="221"/>
      <c r="R234" s="199"/>
      <c r="S234" s="190"/>
      <c r="T234" s="190"/>
      <c r="U234" s="191"/>
      <c r="V234" s="192"/>
      <c r="W234" s="222" t="s">
        <v>118</v>
      </c>
      <c r="X234" s="222" t="s">
        <v>117</v>
      </c>
      <c r="Y234" s="191" t="s">
        <v>26</v>
      </c>
      <c r="Z234" s="192"/>
      <c r="AA234" s="190"/>
      <c r="AB234" s="190"/>
      <c r="AC234" s="191"/>
      <c r="AD234" s="192"/>
      <c r="AE234" s="190"/>
      <c r="AF234" s="190"/>
      <c r="AG234" s="191"/>
      <c r="AH234" s="193"/>
      <c r="AI234" s="190"/>
      <c r="AJ234" s="190"/>
      <c r="AK234" s="374"/>
      <c r="AL234" s="348" t="s">
        <v>149</v>
      </c>
      <c r="AM234" s="354"/>
      <c r="AN234" s="354">
        <f>IF(SUM(O230:O238)=SUM(W230:W238), 0, SUM(O230:O238)-SUM(W230:W238))</f>
        <v>0</v>
      </c>
      <c r="AO234" s="354"/>
      <c r="AP234" s="354"/>
      <c r="AQ234" s="350">
        <f>AM234+AN234+AO234+AP234</f>
        <v>0</v>
      </c>
      <c r="AR234" s="769"/>
      <c r="AS234" s="769"/>
      <c r="AT234" s="769"/>
      <c r="AW234"/>
      <c r="AX234"/>
      <c r="AY234" s="280"/>
      <c r="AZ234"/>
      <c r="BA234"/>
      <c r="BB234"/>
      <c r="BC234"/>
      <c r="BD234"/>
      <c r="BE234"/>
      <c r="BF234"/>
      <c r="BG234" s="280"/>
      <c r="BH234"/>
      <c r="BI234"/>
      <c r="BJ234"/>
      <c r="BK234"/>
      <c r="BL234"/>
      <c r="BM234"/>
      <c r="BN234"/>
      <c r="BO234"/>
    </row>
    <row r="235" spans="1:67" ht="22.25" customHeight="1">
      <c r="A235" s="181">
        <f t="shared" si="78"/>
        <v>45292</v>
      </c>
      <c r="B235" s="484">
        <f>YEAR($A236)-1</f>
        <v>2023</v>
      </c>
      <c r="C235" s="489" t="s">
        <v>158</v>
      </c>
      <c r="D235" s="520" t="e">
        <f>D233+1</f>
        <v>#NUM!</v>
      </c>
      <c r="E235" s="194" t="e">
        <f>DATE(YEAR(E234),MONTH(E234),DAY(E234)+1)</f>
        <v>#NUM!</v>
      </c>
      <c r="F235" s="195" t="e">
        <f t="shared" si="89"/>
        <v>#NUM!</v>
      </c>
      <c r="G235" s="196" t="e">
        <f t="shared" si="90"/>
        <v>#NUM!</v>
      </c>
      <c r="H235" s="195" t="e">
        <f t="shared" si="91"/>
        <v>#NUM!</v>
      </c>
      <c r="I235" s="197">
        <f>IF(J237&lt;13,J237,"")</f>
        <v>9</v>
      </c>
      <c r="J235" s="224">
        <f>G230</f>
        <v>0</v>
      </c>
      <c r="K235" s="501" t="str">
        <f t="shared" si="82"/>
        <v/>
      </c>
      <c r="L235" s="471"/>
      <c r="M235" s="473" t="e">
        <f ca="1">SUM(J230-E236)&amp;" Tage"</f>
        <v>#NUM!</v>
      </c>
      <c r="N235" s="200"/>
      <c r="O235" s="201"/>
      <c r="P235" s="201"/>
      <c r="Q235" s="202"/>
      <c r="R235" s="189"/>
      <c r="S235" s="203"/>
      <c r="T235" s="203"/>
      <c r="U235" s="204"/>
      <c r="V235" s="192"/>
      <c r="W235" s="203"/>
      <c r="X235" s="203"/>
      <c r="Y235" s="204"/>
      <c r="Z235" s="192"/>
      <c r="AA235" s="203"/>
      <c r="AB235" s="203"/>
      <c r="AC235" s="204"/>
      <c r="AD235" s="192"/>
      <c r="AE235" s="203"/>
      <c r="AF235" s="203"/>
      <c r="AG235" s="204"/>
      <c r="AH235" s="193"/>
      <c r="AI235" s="203"/>
      <c r="AJ235" s="203"/>
      <c r="AK235" s="375"/>
      <c r="AL235" s="348"/>
      <c r="AM235" s="354"/>
      <c r="AN235" s="354"/>
      <c r="AO235" s="354"/>
      <c r="AP235" s="354"/>
      <c r="AQ235" s="350"/>
      <c r="AR235" s="769"/>
      <c r="AS235" s="769"/>
      <c r="AT235" s="769"/>
      <c r="AW235"/>
      <c r="AX235"/>
      <c r="AY235" s="280"/>
      <c r="AZ235"/>
      <c r="BA235"/>
      <c r="BB235"/>
      <c r="BC235"/>
      <c r="BD235"/>
      <c r="BE235"/>
      <c r="BF235"/>
      <c r="BG235" s="280"/>
      <c r="BH235"/>
      <c r="BI235"/>
      <c r="BJ235"/>
      <c r="BK235"/>
      <c r="BL235"/>
      <c r="BM235"/>
      <c r="BN235"/>
      <c r="BO235"/>
    </row>
    <row r="236" spans="1:67" ht="22.25" customHeight="1">
      <c r="A236" s="181">
        <f t="shared" si="78"/>
        <v>45292</v>
      </c>
      <c r="B236" s="485"/>
      <c r="C236" s="490"/>
      <c r="D236" s="521"/>
      <c r="E236" s="194" t="e">
        <f>DATE(YEAR(E235),MONTH(E235)+3,DAY(E235)-1)</f>
        <v>#NUM!</v>
      </c>
      <c r="F236" s="195" t="e">
        <f t="shared" si="89"/>
        <v>#NUM!</v>
      </c>
      <c r="G236" s="196" t="e">
        <f t="shared" si="90"/>
        <v>#NUM!</v>
      </c>
      <c r="H236" s="195" t="e">
        <f t="shared" si="91"/>
        <v>#NUM!</v>
      </c>
      <c r="I236" s="244">
        <f>IF(J238&lt;13,J238,"")</f>
        <v>6</v>
      </c>
      <c r="J236" s="224">
        <f>J235+3</f>
        <v>3</v>
      </c>
      <c r="K236" s="501" t="str">
        <f t="shared" si="82"/>
        <v>+Inflat.-P</v>
      </c>
      <c r="L236" s="511" t="e">
        <f>IF(M229="Stufe A",IF(AND(L230="Auswahl treffen",D235&gt;=0,D235&lt;=1000),J229,IF(AND(L230="Vermögend und ambulant",D235&gt;8,D235&lt;=1000),130,IF(AND(L230="Vermögend und ambulant",D235&gt;4,D235&lt;=8),158,IF(AND(L230="Vermögend und ambulant",D235&gt;2,D235&lt;=4),192,IF(AND(L230="Vermögend und ambulant",D235&gt;1,D235&lt;=2),208,IF(AND(L230="Vermögend und ambulant",D235&gt;0,D235&lt;=1),298,IF(AND(L230="Vermögend und stationär",D235&gt;8,D235&lt;=1000),78,IF(AND(L230="Vermögend und stationär",D235&gt;4,D235&lt;=8),91,IF(AND(L230="Vermögend und stationär",D235&gt;2,D235&lt;=4),140,IF(AND(L230="Vermögend und stationär",D235&gt;1,D235&lt;=2),158,IF(AND(L230="Vermögend und stationär",D235&gt;0,D235&lt;=1),200,IF(AND(L230="Mittellos und ambulant",D235&gt;8,D235&lt;=1000),105,IF(AND(L230="Mittellos und ambulant",D235&gt;4,D235&lt;=8),122,IF(AND(L230="Mittellos und ambulant",D235&gt;2,D235&lt;=4),151,IF(AND(L230="Mittellos und ambulant",D235&gt;1,D235&lt;=2),170,IF(AND(L230="Mittellos und ambulant",D235&gt;0,D235&lt;=1),208,IF(AND(L230="Mittellos und stationär",D235&gt;8,D235&lt;=1000),62,IF(AND(L230="Mittellos und stationär",D235&gt;4,D235&lt;=8),87,IF(AND(L230="Mittellos und stationär",D235&gt;2,D235&lt;=4),124,IF(AND(L230="Mittellos und stationär",D235&gt;1,D235&lt;=2),129,IF(AND(L230="Mittellos und stationär",D235&gt;0,D235&lt;=1),194,""))))))))))))))))))))),IF(M229="Stufe B",IF(AND(L230="Auswahl treffen",D235&gt;=0,D235&lt;=1000),J229,IF(AND(L230="Vermögend und ambulant",D235&gt;8,D235&lt;=1000),161,IF(AND(L230="Vermögend und ambulant",D235&gt;4,D235&lt;=8),196,IF(AND(L230="Vermögend und ambulant",D235&gt;2,D235&lt;=4),238,IF(AND(L230="Vermögend und ambulant",D235&gt;1,D235&lt;=2),258,IF(AND(L230="Vermögend und ambulant",D235&gt;0,D235&lt;=1),370,IF(AND(L230="Vermögend und stationär",D235&gt;8,D235&lt;=1000),96,IF(AND(L230="Vermögend und stationär",D235&gt;4,D235&lt;=8),113,IF(AND(L230="Vermögend und stationär",D235&gt;2,D235&lt;=4),174,IF(AND(L230="Vermögend und stationär",D235&gt;1,D235&lt;=2),196,IF(AND(L230="Vermögend und stationär",D235&gt;0,D235&lt;=1),249,IF(AND(L230="Mittellos und ambulant",D235&gt;8,D235&lt;=1000),130,IF(AND(L230="Mittellos und ambulant",D235&gt;4,D235&lt;=8),151,IF(AND(L230="Mittellos und ambulant",D235&gt;2,D235&lt;=4),188,IF(AND(L230="Mittellos und ambulant",D235&gt;1,D235&lt;=2),211,IF(AND(L230="Mittellos und ambulant",D235&gt;0,D235&lt;=1),258,IF(AND(L230="Mittellos und stationär",D235&gt;8,D235&lt;=1000),78,IF(AND(L230="Mittellos und stationär",D235&gt;4,D235&lt;=8),107,IF(AND(L230="Mittellos und stationär",D235&gt;2,D235&lt;=4),154,IF(AND(L230="Mittellos und stationär",D235&gt;1,D235&lt;=2),158,IF(AND(L230="Mittellos und stationär",D235&gt;0,D235&lt;=1),241,""))))))))))))))))))))),IF(M229="Stufe C",IF(AND(L230="Auswahl treffen",D235&gt;=0,D235&lt;=1000),J229,IF(AND(L230="Vermögend und ambulant",D235&gt;8,D235&lt;=1000),211,IF(AND(L230="Vermögend und ambulant",D235&gt;4,D235&lt;=8),257,IF(AND(L230="Vermögend und ambulant",D235&gt;2,D235&lt;=4),312,IF(AND(L230="Vermögend und ambulant",D235&gt;1,D235&lt;=2),339,IF(AND(L230="Vermögend und ambulant",D235&gt;0,D235&lt;=1),486,IF(AND(L230="Vermögend und stationär",D235&gt;8,D235&lt;=1000),127,IF(AND(L230="Vermögend und stationär",D235&gt;4,D235&lt;=8),149,IF(AND(L230="Vermögend und stationär",D235&gt;2,D235&lt;=4),229,IF(AND(L230="Vermögend und stationär",D235&gt;1,D235&lt;=2),257,IF(AND(L230="Vermögend und stationär",D235&gt;0,D235&lt;=1),327,IF(AND(L230="Mittellos und ambulant",D235&gt;8,D235&lt;=1000),171,IF(AND(L230="Mittellos und ambulant",D235&gt;4,D235&lt;=8),198,IF(AND(L230="Mittellos und ambulant",D235&gt;2,D235&lt;=4),246,IF(AND(L230="Mittellos und ambulant",D235&gt;1,D235&lt;=2),277,IF(AND(L230="Mittellos und ambulant",D235&gt;0,D235&lt;=1),339,IF(AND(L230="Mittellos und stationär",D235&gt;8,D235&lt;=1000),102,IF(AND(L230="Mittellos und stationär",D235&gt;4,D235&lt;=8),141,IF(AND(L230="Mittellos und stationär",D235&gt;2,D235&lt;=4),202,IF(AND(L230="Mittellos und stationär",D235&gt;1,D235&lt;=2),208,IF(AND(L230="Mittellos und stationär",D235&gt;0,D235&lt;=1),317,""))))))))))))))))))))),"")))*3+(J229*90)</f>
        <v>#NUM!</v>
      </c>
      <c r="M236" s="507" t="str">
        <f>CONCATENATE(K236, K235)</f>
        <v>+Inflat.-P</v>
      </c>
      <c r="N236" s="206"/>
      <c r="O236" s="207"/>
      <c r="P236" s="206" t="s">
        <v>118</v>
      </c>
      <c r="Q236" s="226"/>
      <c r="R236" s="189"/>
      <c r="S236" s="203"/>
      <c r="T236" s="203"/>
      <c r="U236" s="204"/>
      <c r="V236" s="192"/>
      <c r="W236" s="203"/>
      <c r="X236" s="203"/>
      <c r="Y236" s="204"/>
      <c r="Z236" s="192"/>
      <c r="AA236" s="209" t="s">
        <v>118</v>
      </c>
      <c r="AB236" s="209" t="s">
        <v>117</v>
      </c>
      <c r="AC236" s="204" t="s">
        <v>26</v>
      </c>
      <c r="AD236" s="192"/>
      <c r="AE236" s="203"/>
      <c r="AF236" s="203"/>
      <c r="AG236" s="204"/>
      <c r="AH236" s="193"/>
      <c r="AI236" s="203"/>
      <c r="AJ236" s="203"/>
      <c r="AK236" s="375"/>
      <c r="AL236" s="348" t="s">
        <v>150</v>
      </c>
      <c r="AM236" s="354"/>
      <c r="AN236" s="354"/>
      <c r="AO236" s="354">
        <f>IF(SUM(P230:P238)=SUM(AA230:AA238), 0, SUM(P230:P238)-SUM(AA230:AA238))</f>
        <v>0</v>
      </c>
      <c r="AP236" s="354"/>
      <c r="AQ236" s="350">
        <f>AM236+AN236+AO236+AP236</f>
        <v>0</v>
      </c>
      <c r="AR236" s="769"/>
      <c r="AS236" s="769"/>
      <c r="AT236" s="769"/>
      <c r="AW236"/>
      <c r="AX236"/>
      <c r="AY236" s="280"/>
      <c r="AZ236"/>
      <c r="BA236"/>
      <c r="BB236"/>
      <c r="BC236"/>
      <c r="BD236"/>
      <c r="BE236"/>
      <c r="BF236"/>
      <c r="BG236" s="280"/>
      <c r="BH236"/>
      <c r="BI236"/>
      <c r="BJ236"/>
      <c r="BK236"/>
      <c r="BL236"/>
      <c r="BM236"/>
      <c r="BN236"/>
      <c r="BO236"/>
    </row>
    <row r="237" spans="1:67" ht="22.25" customHeight="1">
      <c r="A237" s="181">
        <f t="shared" si="78"/>
        <v>45292</v>
      </c>
      <c r="B237" s="486"/>
      <c r="C237" s="489" t="s">
        <v>158</v>
      </c>
      <c r="D237" s="522" t="e">
        <f>D235+1</f>
        <v>#NUM!</v>
      </c>
      <c r="E237" s="211" t="e">
        <f>DATE(YEAR(E236),MONTH(E236),DAY(E236)+1)</f>
        <v>#NUM!</v>
      </c>
      <c r="F237" s="227" t="e">
        <f t="shared" si="89"/>
        <v>#NUM!</v>
      </c>
      <c r="G237" s="228" t="e">
        <f t="shared" si="90"/>
        <v>#NUM!</v>
      </c>
      <c r="H237" s="227" t="e">
        <f t="shared" si="91"/>
        <v>#NUM!</v>
      </c>
      <c r="I237" s="231">
        <f>IF(J236&lt;13,J236,"")</f>
        <v>3</v>
      </c>
      <c r="J237" s="230">
        <f>J238+3</f>
        <v>9</v>
      </c>
      <c r="K237" s="506" t="str">
        <f t="shared" si="82"/>
        <v/>
      </c>
      <c r="L237" s="471"/>
      <c r="M237" s="473" t="e">
        <f ca="1">SUM(J230-E238)&amp;" Tage"</f>
        <v>#NUM!</v>
      </c>
      <c r="N237" s="216"/>
      <c r="O237" s="188"/>
      <c r="P237" s="188"/>
      <c r="Q237" s="217"/>
      <c r="R237" s="189"/>
      <c r="S237" s="190"/>
      <c r="T237" s="190"/>
      <c r="U237" s="191"/>
      <c r="V237" s="192"/>
      <c r="W237" s="190"/>
      <c r="X237" s="190"/>
      <c r="Y237" s="191"/>
      <c r="Z237" s="192"/>
      <c r="AA237" s="190"/>
      <c r="AB237" s="190"/>
      <c r="AC237" s="191"/>
      <c r="AD237" s="192"/>
      <c r="AE237" s="190"/>
      <c r="AF237" s="190"/>
      <c r="AG237" s="191"/>
      <c r="AH237" s="193"/>
      <c r="AI237" s="190"/>
      <c r="AJ237" s="190"/>
      <c r="AK237" s="374"/>
      <c r="AL237" s="348"/>
      <c r="AM237" s="354"/>
      <c r="AN237" s="354"/>
      <c r="AO237" s="354"/>
      <c r="AP237" s="354"/>
      <c r="AQ237" s="350"/>
      <c r="AR237" s="769"/>
      <c r="AS237" s="769"/>
      <c r="AT237" s="769"/>
      <c r="AW237"/>
      <c r="AX237"/>
      <c r="AY237" s="280"/>
      <c r="AZ237"/>
      <c r="BA237"/>
      <c r="BB237"/>
      <c r="BC237"/>
      <c r="BD237"/>
      <c r="BE237"/>
      <c r="BF237"/>
      <c r="BG237" s="280"/>
      <c r="BH237"/>
      <c r="BI237"/>
      <c r="BJ237"/>
      <c r="BK237"/>
      <c r="BL237"/>
      <c r="BM237"/>
      <c r="BN237"/>
      <c r="BO237"/>
    </row>
    <row r="238" spans="1:67" ht="22.25" customHeight="1">
      <c r="A238" s="181">
        <f t="shared" si="78"/>
        <v>45292</v>
      </c>
      <c r="B238" s="485"/>
      <c r="C238" s="490"/>
      <c r="D238" s="521"/>
      <c r="E238" s="218" t="e">
        <f>DATE(YEAR(E237),MONTH(E237)+3,DAY(E237)-1)</f>
        <v>#NUM!</v>
      </c>
      <c r="F238" s="227" t="e">
        <f t="shared" si="89"/>
        <v>#NUM!</v>
      </c>
      <c r="G238" s="228" t="e">
        <f t="shared" si="90"/>
        <v>#NUM!</v>
      </c>
      <c r="H238" s="227" t="e">
        <f t="shared" si="91"/>
        <v>#NUM!</v>
      </c>
      <c r="I238" s="231">
        <f>IF(J235&lt;13,J235,"")</f>
        <v>0</v>
      </c>
      <c r="J238" s="230">
        <f>J236+3</f>
        <v>6</v>
      </c>
      <c r="K238" s="501" t="str">
        <f t="shared" si="82"/>
        <v>+Inflat.-P</v>
      </c>
      <c r="L238" s="508" t="e">
        <f>IF(M229="Stufe A",IF(AND(L230="Auswahl treffen",D237&gt;=0,D237&lt;=1000),J229,IF(AND(L230="Vermögend und ambulant",D237&gt;8,D237&lt;=1000),130,IF(AND(L230="Vermögend und ambulant",D237&gt;4,D237&lt;=8),158,IF(AND(L230="Vermögend und ambulant",D237&gt;2,D237&lt;=4),192,IF(AND(L230="Vermögend und ambulant",D237&gt;1,D237&lt;=2),208,IF(AND(L230="Vermögend und ambulant",D237&gt;0,D237&lt;=1),298,IF(AND(L230="Vermögend und stationär",D237&gt;8,D237&lt;=1000),78,IF(AND(L230="Vermögend und stationär",D237&gt;4,D237&lt;=8),91,IF(AND(L230="Vermögend und stationär",D237&gt;2,D237&lt;=4),140,IF(AND(L230="Vermögend und stationär",D237&gt;1,D237&lt;=2),158,IF(AND(L230="Vermögend und stationär",D237&gt;0,D237&lt;=1),200,IF(AND(L230="Mittellos und ambulant",D237&gt;8,D237&lt;=1000),105,IF(AND(L230="Mittellos und ambulant",D237&gt;4,D237&lt;=8),122,IF(AND(L230="Mittellos und ambulant",D237&gt;2,D237&lt;=4),151,IF(AND(L230="Mittellos und ambulant",D237&gt;1,D237&lt;=2),170,IF(AND(L230="Mittellos und ambulant",D237&gt;0,D237&lt;=1),208,IF(AND(L230="Mittellos und stationär",D237&gt;8,D237&lt;=1000),62,IF(AND(L230="Mittellos und stationär",D237&gt;4,D237&lt;=8),87,IF(AND(L230="Mittellos und stationär",D237&gt;2,D237&lt;=4),124,IF(AND(L230="Mittellos und stationär",D237&gt;1,D237&lt;=2),129,IF(AND(L230="Mittellos und stationär",D237&gt;0,D237&lt;=1),194,""))))))))))))))))))))),IF(M229="Stufe B",IF(AND(L230="Auswahl treffen",D237&gt;=0,D237&lt;=1000),J229,IF(AND(L230="Vermögend und ambulant",D237&gt;8,D237&lt;=1000),161,IF(AND(L230="Vermögend und ambulant",D237&gt;4,D237&lt;=8),196,IF(AND(L230="Vermögend und ambulant",D237&gt;2,D237&lt;=4),238,IF(AND(L230="Vermögend und ambulant",D237&gt;1,D237&lt;=2),258,IF(AND(L230="Vermögend und ambulant",D237&gt;0,D237&lt;=1),370,IF(AND(L230="Vermögend und stationär",D237&gt;8,D237&lt;=1000),96,IF(AND(L230="Vermögend und stationär",D237&gt;4,D237&lt;=8),113,IF(AND(L230="Vermögend und stationär",D237&gt;2,D237&lt;=4),174,IF(AND(L230="Vermögend und stationär",D237&gt;1,D237&lt;=2),196,IF(AND(L230="Vermögend und stationär",D237&gt;0,D237&lt;=1),249,IF(AND(L230="Mittellos und ambulant",D237&gt;8,D237&lt;=1000),130,IF(AND(L230="Mittellos und ambulant",D237&gt;4,D237&lt;=8),151,IF(AND(L230="Mittellos und ambulant",D237&gt;2,D237&lt;=4),188,IF(AND(L230="Mittellos und ambulant",D237&gt;1,D237&lt;=2),211,IF(AND(L230="Mittellos und ambulant",D237&gt;0,D237&lt;=1),258,IF(AND(L230="Mittellos und stationär",D237&gt;8,D237&lt;=1000),78,IF(AND(L230="Mittellos und stationär",D237&gt;4,D237&lt;=8),107,IF(AND(L230="Mittellos und stationär",D237&gt;2,D237&lt;=4),154,IF(AND(L230="Mittellos und stationär",D237&gt;1,D237&lt;=2),158,IF(AND(L230="Mittellos und stationär",D237&gt;0,D237&lt;=1),241,""))))))))))))))))))))),IF(M229="Stufe C",IF(AND(L230="Auswahl treffen",D237&gt;=0,D237&lt;=1000),J229,IF(AND(L230="Vermögend und ambulant",D237&gt;8,D237&lt;=1000),211,IF(AND(L230="Vermögend und ambulant",D237&gt;4,D237&lt;=8),257,IF(AND(L230="Vermögend und ambulant",D237&gt;2,D237&lt;=4),312,IF(AND(L230="Vermögend und ambulant",D237&gt;1,D237&lt;=2),339,IF(AND(L230="Vermögend und ambulant",D237&gt;0,D237&lt;=1),486,IF(AND(L230="Vermögend und stationär",D237&gt;8,D237&lt;=1000),127,IF(AND(L230="Vermögend und stationär",D237&gt;4,D237&lt;=8),149,IF(AND(L230="Vermögend und stationär",D237&gt;2,D237&lt;=4),229,IF(AND(L230="Vermögend und stationär",D237&gt;1,D237&lt;=2),257,IF(AND(L230="Vermögend und stationär",D237&gt;0,D237&lt;=1),327,IF(AND(L230="Mittellos und ambulant",D237&gt;8,D237&lt;=1000),171,IF(AND(L230="Mittellos und ambulant",D237&gt;4,D237&lt;=8),198,IF(AND(L230="Mittellos und ambulant",D237&gt;2,D237&lt;=4),246,IF(AND(L230="Mittellos und ambulant",D237&gt;1,D237&lt;=2),277,IF(AND(L230="Mittellos und ambulant",D237&gt;0,D237&lt;=1),339,IF(AND(L230="Mittellos und stationär",D237&gt;8,D237&lt;=1000),102,IF(AND(L230="Mittellos und stationär",D237&gt;4,D237&lt;=8),141,IF(AND(L230="Mittellos und stationär",D237&gt;2,D237&lt;=4),202,IF(AND(L230="Mittellos und stationär",D237&gt;1,D237&lt;=2),208,IF(AND(L230="Mittellos und stationär",D237&gt;0,D237&lt;=1),317,""))))))))))))))))))))),"")))*3+(J229*90)</f>
        <v>#NUM!</v>
      </c>
      <c r="M238" s="507" t="str">
        <f>CONCATENATE(K238, K237)</f>
        <v>+Inflat.-P</v>
      </c>
      <c r="N238" s="216"/>
      <c r="O238" s="188"/>
      <c r="P238" s="188"/>
      <c r="Q238" s="217" t="s">
        <v>118</v>
      </c>
      <c r="R238" s="189"/>
      <c r="S238" s="190"/>
      <c r="T238" s="190"/>
      <c r="U238" s="191"/>
      <c r="V238" s="192"/>
      <c r="W238" s="190"/>
      <c r="X238" s="190"/>
      <c r="Y238" s="191"/>
      <c r="Z238" s="192"/>
      <c r="AA238" s="190"/>
      <c r="AB238" s="190"/>
      <c r="AC238" s="191"/>
      <c r="AD238" s="192"/>
      <c r="AE238" s="190" t="s">
        <v>118</v>
      </c>
      <c r="AF238" s="190" t="s">
        <v>117</v>
      </c>
      <c r="AG238" s="191" t="s">
        <v>26</v>
      </c>
      <c r="AH238" s="193"/>
      <c r="AI238" s="190" t="s">
        <v>118</v>
      </c>
      <c r="AJ238" s="190" t="s">
        <v>117</v>
      </c>
      <c r="AK238" s="374" t="s">
        <v>26</v>
      </c>
      <c r="AL238" s="348" t="s">
        <v>151</v>
      </c>
      <c r="AM238" s="354"/>
      <c r="AN238" s="354"/>
      <c r="AO238" s="354"/>
      <c r="AP238" s="354">
        <f>IF(SUM(Q230:Q238)=SUM(AE230:AE238,AI230:AI238), 0, SUM(Q230:Q238)-SUM(AE230:AE238,AI230:AI238))</f>
        <v>0</v>
      </c>
      <c r="AQ238" s="350">
        <f>AM238+AN238+AO238+AP238</f>
        <v>0</v>
      </c>
      <c r="AR238" s="769"/>
      <c r="AS238" s="769"/>
      <c r="AT238" s="769"/>
      <c r="AW238"/>
      <c r="AX238"/>
      <c r="AY238" s="280"/>
      <c r="AZ238"/>
      <c r="BA238"/>
      <c r="BB238"/>
      <c r="BC238"/>
      <c r="BD238"/>
      <c r="BE238"/>
      <c r="BF238"/>
      <c r="BG238" s="280"/>
      <c r="BH238"/>
      <c r="BI238"/>
      <c r="BJ238"/>
      <c r="BK238"/>
      <c r="BL238"/>
      <c r="BM238"/>
      <c r="BN238"/>
      <c r="BO238"/>
    </row>
    <row r="239" spans="1:67" ht="22" customHeight="1">
      <c r="A239" s="181">
        <f t="shared" si="78"/>
        <v>45292</v>
      </c>
      <c r="B239" s="232" t="s">
        <v>74</v>
      </c>
      <c r="C239" s="233" t="s">
        <v>75</v>
      </c>
      <c r="D239" s="234" t="s">
        <v>76</v>
      </c>
      <c r="E239" s="235" t="s">
        <v>11</v>
      </c>
      <c r="F239" s="235" t="s">
        <v>4</v>
      </c>
      <c r="G239" s="235" t="s">
        <v>5</v>
      </c>
      <c r="H239" s="235" t="s">
        <v>6</v>
      </c>
      <c r="I239" s="236" t="s">
        <v>77</v>
      </c>
      <c r="J239" s="306"/>
      <c r="K239" s="506" t="str">
        <f t="shared" si="82"/>
        <v/>
      </c>
      <c r="L239" s="306" t="str">
        <f>IFERROR(VLOOKUP(B240,'Aktuelle Einnahmen'!A2:J104,10,0),"")</f>
        <v/>
      </c>
      <c r="M239" s="510" t="str">
        <f>M229</f>
        <v>Stufe C</v>
      </c>
      <c r="N239" s="237"/>
      <c r="O239" s="238"/>
      <c r="P239" s="238"/>
      <c r="Q239" s="239"/>
      <c r="R239" s="240"/>
      <c r="S239" s="241"/>
      <c r="T239" s="241"/>
      <c r="U239" s="242"/>
      <c r="V239" s="243"/>
      <c r="W239" s="241"/>
      <c r="X239" s="241"/>
      <c r="Y239" s="242"/>
      <c r="Z239" s="243"/>
      <c r="AA239" s="241"/>
      <c r="AB239" s="241"/>
      <c r="AC239" s="242"/>
      <c r="AD239" s="243"/>
      <c r="AE239" s="241"/>
      <c r="AF239" s="241"/>
      <c r="AG239" s="242"/>
      <c r="AH239" s="240"/>
      <c r="AI239" s="241"/>
      <c r="AJ239" s="241"/>
      <c r="AK239" s="377"/>
      <c r="AL239" s="347"/>
      <c r="AM239" s="353"/>
      <c r="AN239" s="353"/>
      <c r="AO239" s="353"/>
      <c r="AP239" s="353"/>
      <c r="AQ239" s="349"/>
      <c r="AR239" s="768"/>
      <c r="AS239" s="768"/>
      <c r="AT239" s="768"/>
      <c r="AW239"/>
      <c r="AX239"/>
      <c r="AY239" s="280"/>
      <c r="AZ239"/>
      <c r="BA239"/>
      <c r="BB239"/>
      <c r="BC239"/>
      <c r="BD239"/>
      <c r="BE239"/>
      <c r="BF239"/>
      <c r="BG239" s="280"/>
      <c r="BH239"/>
      <c r="BI239"/>
      <c r="BJ239"/>
      <c r="BK239"/>
      <c r="BL239"/>
      <c r="BM239"/>
      <c r="BN239"/>
      <c r="BO239"/>
    </row>
    <row r="240" spans="1:67" ht="23" customHeight="1">
      <c r="A240" s="181">
        <f t="shared" si="78"/>
        <v>45292</v>
      </c>
      <c r="B240" s="182">
        <v>24</v>
      </c>
      <c r="C240" s="245">
        <f>IFERROR(VLOOKUP($B240,'Aktuelle Einnahmen'!A2:G104,3,0),"")</f>
        <v>0</v>
      </c>
      <c r="D240" s="246">
        <f>IFERROR(VLOOKUP($B240,'Aktuelle Einnahmen'!A2:G104,2,0),"")</f>
        <v>0</v>
      </c>
      <c r="E240" s="247">
        <f>IFERROR(VLOOKUP($B240,'Aktuelle Einnahmen'!A2:G104,4,0),"")</f>
        <v>0</v>
      </c>
      <c r="F240" s="94">
        <f>IFERROR(VLOOKUP($B240,'Aktuelle Einnahmen'!A2:G104,5,0),"")</f>
        <v>0</v>
      </c>
      <c r="G240" s="94">
        <f>IFERROR(VLOOKUP($B240,'Aktuelle Einnahmen'!A2:G104,6,0),"")</f>
        <v>0</v>
      </c>
      <c r="H240" s="94">
        <f>IFERROR(VLOOKUP($B240,'Aktuelle Einnahmen'!A2:G104,7,0),"")</f>
        <v>0</v>
      </c>
      <c r="I240" s="186" t="e">
        <f>DATE(H240,G240,F240)</f>
        <v>#NUM!</v>
      </c>
      <c r="J240" s="472">
        <f ca="1">J230</f>
        <v>45475</v>
      </c>
      <c r="K240" s="501" t="str">
        <f t="shared" si="82"/>
        <v>+Inflat.-P</v>
      </c>
      <c r="L240" s="1262" t="str">
        <f>IFERROR(VLOOKUP(B240,'Aktuelle Einnahmen'!A12:I114,9,0),"")</f>
        <v>Auswahl treffen</v>
      </c>
      <c r="M240" s="1263"/>
      <c r="N240" s="261"/>
      <c r="O240" s="261"/>
      <c r="P240" s="261"/>
      <c r="Q240" s="261"/>
      <c r="R240" s="189"/>
      <c r="S240" s="190"/>
      <c r="T240" s="190"/>
      <c r="U240" s="191"/>
      <c r="V240" s="192"/>
      <c r="W240" s="190"/>
      <c r="X240" s="190"/>
      <c r="Y240" s="191"/>
      <c r="Z240" s="192"/>
      <c r="AA240" s="190"/>
      <c r="AB240" s="190"/>
      <c r="AC240" s="191"/>
      <c r="AD240" s="192"/>
      <c r="AE240" s="190"/>
      <c r="AF240" s="190"/>
      <c r="AG240" s="191"/>
      <c r="AH240" s="193"/>
      <c r="AI240" s="190"/>
      <c r="AJ240" s="190"/>
      <c r="AK240" s="374"/>
      <c r="AL240" s="348"/>
      <c r="AM240" s="354"/>
      <c r="AN240" s="354"/>
      <c r="AO240" s="354"/>
      <c r="AP240" s="354"/>
      <c r="AQ240" s="350"/>
      <c r="AR240" s="769"/>
      <c r="AS240" s="769"/>
      <c r="AT240" s="769"/>
      <c r="AW240"/>
      <c r="AX240"/>
      <c r="AY240" s="280"/>
      <c r="AZ240"/>
      <c r="BA240"/>
      <c r="BB240"/>
      <c r="BC240"/>
      <c r="BD240"/>
      <c r="BE240"/>
      <c r="BF240"/>
      <c r="BG240" s="280"/>
      <c r="BH240"/>
      <c r="BI240"/>
      <c r="BJ240"/>
      <c r="BK240"/>
      <c r="BL240"/>
      <c r="BM240"/>
      <c r="BN240"/>
      <c r="BO240"/>
    </row>
    <row r="241" spans="1:67" ht="22.25" customHeight="1">
      <c r="A241" s="181">
        <f t="shared" si="78"/>
        <v>45292</v>
      </c>
      <c r="B241" s="484" t="e">
        <f>DAY(I240)</f>
        <v>#NUM!</v>
      </c>
      <c r="C241" s="489" t="s">
        <v>158</v>
      </c>
      <c r="D241" s="520" t="e">
        <f>(I241*4)+J241/3+1</f>
        <v>#NUM!</v>
      </c>
      <c r="E241" s="194" t="e">
        <f>J243+1</f>
        <v>#NUM!</v>
      </c>
      <c r="F241" s="195" t="e">
        <f t="shared" ref="F241:F248" si="92">DAY(E241)</f>
        <v>#NUM!</v>
      </c>
      <c r="G241" s="196" t="e">
        <f t="shared" ref="G241:G248" si="93">MONTH(E241)</f>
        <v>#NUM!</v>
      </c>
      <c r="H241" s="195" t="e">
        <f t="shared" ref="H241:H248" si="94">YEAR(E241)</f>
        <v>#NUM!</v>
      </c>
      <c r="I241" s="197" t="e">
        <f>H241-(H240+2000)</f>
        <v>#NUM!</v>
      </c>
      <c r="J241" s="198" t="e">
        <f>G241-G240</f>
        <v>#NUM!</v>
      </c>
      <c r="K241" s="506" t="str">
        <f>L239</f>
        <v/>
      </c>
      <c r="L241" s="469"/>
      <c r="M241" s="473" t="e">
        <f ca="1">SUM(J240-E242)&amp;" Tage"</f>
        <v>#NUM!</v>
      </c>
      <c r="N241" s="206"/>
      <c r="O241" s="201"/>
      <c r="P241" s="201"/>
      <c r="Q241" s="202"/>
      <c r="R241" s="189"/>
      <c r="S241" s="203"/>
      <c r="T241" s="203"/>
      <c r="U241" s="204"/>
      <c r="V241" s="192"/>
      <c r="W241" s="203"/>
      <c r="X241" s="203"/>
      <c r="Y241" s="204"/>
      <c r="Z241" s="192"/>
      <c r="AA241" s="203"/>
      <c r="AB241" s="203"/>
      <c r="AC241" s="204"/>
      <c r="AD241" s="192"/>
      <c r="AE241" s="203"/>
      <c r="AF241" s="203"/>
      <c r="AG241" s="204"/>
      <c r="AH241" s="193"/>
      <c r="AI241" s="203"/>
      <c r="AJ241" s="203"/>
      <c r="AK241" s="375"/>
      <c r="AL241" s="348"/>
      <c r="AM241" s="354"/>
      <c r="AN241" s="354"/>
      <c r="AO241" s="354"/>
      <c r="AP241" s="354"/>
      <c r="AQ241" s="350"/>
      <c r="AR241" s="769"/>
      <c r="AS241" s="769"/>
      <c r="AT241" s="769"/>
      <c r="AW241"/>
      <c r="AX241"/>
      <c r="AY241" s="280"/>
      <c r="AZ241"/>
      <c r="BA241"/>
      <c r="BB241"/>
      <c r="BC241"/>
      <c r="BD241"/>
      <c r="BE241"/>
      <c r="BF241"/>
      <c r="BG241" s="280"/>
      <c r="BH241"/>
      <c r="BI241"/>
      <c r="BJ241"/>
      <c r="BK241"/>
      <c r="BL241"/>
      <c r="BM241"/>
      <c r="BN241"/>
      <c r="BO241"/>
    </row>
    <row r="242" spans="1:67" ht="22.25" customHeight="1">
      <c r="A242" s="181">
        <f t="shared" si="78"/>
        <v>45292</v>
      </c>
      <c r="B242" s="485"/>
      <c r="C242" s="490"/>
      <c r="D242" s="521"/>
      <c r="E242" s="194" t="e">
        <f>DATE(YEAR(E241),MONTH(E241)+3,DAY(E241)-1)</f>
        <v>#NUM!</v>
      </c>
      <c r="F242" s="195" t="e">
        <f t="shared" si="92"/>
        <v>#NUM!</v>
      </c>
      <c r="G242" s="196" t="e">
        <f t="shared" si="93"/>
        <v>#NUM!</v>
      </c>
      <c r="H242" s="195" t="e">
        <f t="shared" si="94"/>
        <v>#NUM!</v>
      </c>
      <c r="I242" s="244">
        <v>-1</v>
      </c>
      <c r="J242" s="198" t="e">
        <f>F241-F240</f>
        <v>#NUM!</v>
      </c>
      <c r="K242" s="501" t="str">
        <f t="shared" si="82"/>
        <v>+Inflat.-P</v>
      </c>
      <c r="L242" s="511" t="e">
        <f>IF(M239="Stufe A",IF(AND(L240="Auswahl treffen",D241&gt;=0,D241&lt;=1000),J239,IF(AND(L240="Vermögend und ambulant",D241&gt;8,D241&lt;=1000),130,IF(AND(L240="Vermögend und ambulant",D241&gt;4,D241&lt;=8),158,IF(AND(L240="Vermögend und ambulant",D241&gt;2,D241&lt;=4),192,IF(AND(L240="Vermögend und ambulant",D241&gt;1,D241&lt;=2),208,IF(AND(L240="Vermögend und ambulant",D241&gt;0,D241&lt;=1),298,IF(AND(L240="Vermögend und stationär",D241&gt;8,D241&lt;=1000),78,IF(AND(L240="Vermögend und stationär",D241&gt;4,D241&lt;=8),91,IF(AND(L240="Vermögend und stationär",D241&gt;2,D241&lt;=4),140,IF(AND(L240="Vermögend und stationär",D241&gt;1,D241&lt;=2),158,IF(AND(L240="Vermögend und stationär",D241&gt;0,D241&lt;=1),200,IF(AND(L240="Mittellos und ambulant",D241&gt;8,D241&lt;=1000),105,IF(AND(L240="Mittellos und ambulant",D241&gt;4,D241&lt;=8),122,IF(AND(L240="Mittellos und ambulant",D241&gt;2,D241&lt;=4),151,IF(AND(L240="Mittellos und ambulant",D241&gt;1,D241&lt;=2),170,IF(AND(L240="Mittellos und ambulant",D241&gt;0,D241&lt;=1),208,IF(AND(L240="Mittellos und stationär",D241&gt;8,D241&lt;=1000),62,IF(AND(L240="Mittellos und stationär",D241&gt;4,D241&lt;=8),87,IF(AND(L240="Mittellos und stationär",D241&gt;2,D241&lt;=4),124,IF(AND(L240="Mittellos und stationär",D241&gt;1,D241&lt;=2),129,IF(AND(L240="Mittellos und stationär",D241&gt;0,D241&lt;=1),194,""))))))))))))))))))))),IF(M239="Stufe B",IF(AND(L240="Auswahl treffen",D241&gt;=0,D241&lt;=1000),J239,IF(AND(L240="Vermögend und ambulant",D241&gt;8,D241&lt;=1000),161,IF(AND(L240="Vermögend und ambulant",D241&gt;4,D241&lt;=8),196,IF(AND(L240="Vermögend und ambulant",D241&gt;2,D241&lt;=4),238,IF(AND(L240="Vermögend und ambulant",D241&gt;1,D241&lt;=2),258,IF(AND(L240="Vermögend und ambulant",D241&gt;0,D241&lt;=1),370,IF(AND(L240="Vermögend und stationär",D241&gt;8,D241&lt;=1000),96,IF(AND(L240="Vermögend und stationär",D241&gt;4,D241&lt;=8),113,IF(AND(L240="Vermögend und stationär",D241&gt;2,D241&lt;=4),174,IF(AND(L240="Vermögend und stationär",D241&gt;1,D241&lt;=2),196,IF(AND(L240="Vermögend und stationär",D241&gt;0,D241&lt;=1),249,IF(AND(L240="Mittellos und ambulant",D241&gt;8,D241&lt;=1000),130,IF(AND(L240="Mittellos und ambulant",D241&gt;4,D241&lt;=8),151,IF(AND(L240="Mittellos und ambulant",D241&gt;2,D241&lt;=4),188,IF(AND(L240="Mittellos und ambulant",D241&gt;1,D241&lt;=2),211,IF(AND(L240="Mittellos und ambulant",D241&gt;0,D241&lt;=1),258,IF(AND(L240="Mittellos und stationär",D241&gt;8,D241&lt;=1000),78,IF(AND(L240="Mittellos und stationär",D241&gt;4,D241&lt;=8),107,IF(AND(L240="Mittellos und stationär",D241&gt;2,D241&lt;=4),154,IF(AND(L240="Mittellos und stationär",D241&gt;1,D241&lt;=2),158,IF(AND(L240="Mittellos und stationär",D241&gt;0,D241&lt;=1),241,""))))))))))))))))))))),IF(M239="Stufe C",IF(AND(L240="Auswahl treffen",D241&gt;=0,D241&lt;=1000),J239,IF(AND(L240="Vermögend und ambulant",D241&gt;8,D241&lt;=1000),211,IF(AND(L240="Vermögend und ambulant",D241&gt;4,D241&lt;=8),257,IF(AND(L240="Vermögend und ambulant",D241&gt;2,D241&lt;=4),312,IF(AND(L240="Vermögend und ambulant",D241&gt;1,D241&lt;=2),339,IF(AND(L240="Vermögend und ambulant",D241&gt;0,D241&lt;=1),486,IF(AND(L240="Vermögend und stationär",D241&gt;8,D241&lt;=1000),127,IF(AND(L240="Vermögend und stationär",D241&gt;4,D241&lt;=8),149,IF(AND(L240="Vermögend und stationär",D241&gt;2,D241&lt;=4),229,IF(AND(L240="Vermögend und stationär",D241&gt;1,D241&lt;=2),257,IF(AND(L240="Vermögend und stationär",D241&gt;0,D241&lt;=1),327,IF(AND(L240="Mittellos und ambulant",D241&gt;8,D241&lt;=1000),171,IF(AND(L240="Mittellos und ambulant",D241&gt;4,D241&lt;=8),198,IF(AND(L240="Mittellos und ambulant",D241&gt;2,D241&lt;=4),246,IF(AND(L240="Mittellos und ambulant",D241&gt;1,D241&lt;=2),277,IF(AND(L240="Mittellos und ambulant",D241&gt;0,D241&lt;=1),339,IF(AND(L240="Mittellos und stationär",D241&gt;8,D241&lt;=1000),102,IF(AND(L240="Mittellos und stationär",D241&gt;4,D241&lt;=8),141,IF(AND(L240="Mittellos und stationär",D241&gt;2,D241&lt;=4),202,IF(AND(L240="Mittellos und stationär",D241&gt;1,D241&lt;=2),208,IF(AND(L240="Mittellos und stationär",D241&gt;0,D241&lt;=1),317,""))))))))))))))))))))),"")))*3+(J239*90)</f>
        <v>#NUM!</v>
      </c>
      <c r="M242" s="507" t="str">
        <f>CONCATENATE(K242, K241)</f>
        <v>+Inflat.-P</v>
      </c>
      <c r="N242" s="206" t="s">
        <v>118</v>
      </c>
      <c r="O242" s="207"/>
      <c r="P242" s="207"/>
      <c r="Q242" s="208"/>
      <c r="R242" s="187"/>
      <c r="S242" s="209" t="s">
        <v>118</v>
      </c>
      <c r="T242" s="201" t="s">
        <v>117</v>
      </c>
      <c r="U242" s="210" t="s">
        <v>26</v>
      </c>
      <c r="V242" s="192"/>
      <c r="W242" s="203"/>
      <c r="X242" s="203"/>
      <c r="Y242" s="210"/>
      <c r="Z242" s="192"/>
      <c r="AA242" s="203"/>
      <c r="AB242" s="203"/>
      <c r="AC242" s="210"/>
      <c r="AD242" s="192"/>
      <c r="AE242" s="203"/>
      <c r="AF242" s="203"/>
      <c r="AG242" s="210"/>
      <c r="AH242" s="193"/>
      <c r="AI242" s="203"/>
      <c r="AJ242" s="203"/>
      <c r="AK242" s="376"/>
      <c r="AL242" s="348" t="s">
        <v>148</v>
      </c>
      <c r="AM242" s="354">
        <f>IF(SUM(N240:N248)=SUM(S240:S248), 0, SUM(N240:N248)-SUM(S240:S248))</f>
        <v>0</v>
      </c>
      <c r="AN242" s="354"/>
      <c r="AO242" s="354"/>
      <c r="AP242" s="354"/>
      <c r="AQ242" s="350">
        <f>AM242+AN242+AO242+AP242</f>
        <v>0</v>
      </c>
      <c r="AR242" s="769"/>
      <c r="AS242" s="769"/>
      <c r="AT242" s="769"/>
      <c r="AW242"/>
      <c r="AX242"/>
      <c r="AY242" s="280"/>
      <c r="AZ242"/>
      <c r="BA242"/>
      <c r="BB242"/>
      <c r="BC242"/>
      <c r="BD242"/>
      <c r="BE242"/>
      <c r="BF242"/>
      <c r="BG242" s="280"/>
      <c r="BH242"/>
      <c r="BI242"/>
      <c r="BJ242"/>
      <c r="BK242"/>
      <c r="BL242"/>
      <c r="BM242"/>
      <c r="BN242"/>
      <c r="BO242"/>
    </row>
    <row r="243" spans="1:67" ht="22.25" customHeight="1">
      <c r="A243" s="181">
        <f t="shared" si="78"/>
        <v>45292</v>
      </c>
      <c r="B243" s="484" t="e">
        <f>MONTH(I240)</f>
        <v>#NUM!</v>
      </c>
      <c r="C243" s="489" t="s">
        <v>158</v>
      </c>
      <c r="D243" s="522" t="e">
        <f>D241+1</f>
        <v>#NUM!</v>
      </c>
      <c r="E243" s="211" t="e">
        <f>DATE(YEAR(E242),MONTH(E242),DAY(E242)+1)</f>
        <v>#NUM!</v>
      </c>
      <c r="F243" s="212" t="e">
        <f t="shared" si="92"/>
        <v>#NUM!</v>
      </c>
      <c r="G243" s="213" t="e">
        <f t="shared" si="93"/>
        <v>#NUM!</v>
      </c>
      <c r="H243" s="212" t="e">
        <f t="shared" si="94"/>
        <v>#NUM!</v>
      </c>
      <c r="I243" s="214" t="str">
        <f>IF(D240&lt;&gt;0,"-1T","")</f>
        <v/>
      </c>
      <c r="J243" s="215" t="e">
        <f>DATE($B245,I244,$B241)</f>
        <v>#NUM!</v>
      </c>
      <c r="K243" s="501" t="str">
        <f t="shared" si="82"/>
        <v/>
      </c>
      <c r="L243" s="470"/>
      <c r="M243" s="473" t="e">
        <f ca="1">SUM(J240-E244)&amp;" Tage"</f>
        <v>#NUM!</v>
      </c>
      <c r="N243" s="216"/>
      <c r="O243" s="217"/>
      <c r="P243" s="188"/>
      <c r="Q243" s="217"/>
      <c r="R243" s="189"/>
      <c r="S243" s="190"/>
      <c r="T243" s="190"/>
      <c r="U243" s="191"/>
      <c r="V243" s="192"/>
      <c r="W243" s="190"/>
      <c r="X243" s="190"/>
      <c r="Y243" s="191"/>
      <c r="Z243" s="192"/>
      <c r="AA243" s="190"/>
      <c r="AB243" s="190"/>
      <c r="AC243" s="191"/>
      <c r="AD243" s="192"/>
      <c r="AE243" s="190"/>
      <c r="AF243" s="190"/>
      <c r="AG243" s="191"/>
      <c r="AH243" s="193"/>
      <c r="AI243" s="190"/>
      <c r="AJ243" s="190"/>
      <c r="AK243" s="374"/>
      <c r="AL243" s="348"/>
      <c r="AM243" s="354"/>
      <c r="AN243" s="354"/>
      <c r="AO243" s="354"/>
      <c r="AP243" s="354"/>
      <c r="AQ243" s="350"/>
      <c r="AR243" s="769"/>
      <c r="AS243" s="769"/>
      <c r="AT243" s="769"/>
      <c r="AW243"/>
      <c r="AX243"/>
      <c r="AY243" s="280"/>
      <c r="AZ243"/>
      <c r="BA243"/>
      <c r="BB243"/>
      <c r="BC243"/>
      <c r="BD243"/>
      <c r="BE243"/>
      <c r="BF243"/>
      <c r="BG243" s="280"/>
      <c r="BH243"/>
      <c r="BI243"/>
      <c r="BJ243"/>
      <c r="BK243"/>
      <c r="BL243"/>
      <c r="BM243"/>
      <c r="BN243"/>
      <c r="BO243"/>
    </row>
    <row r="244" spans="1:67" ht="22.25" customHeight="1">
      <c r="A244" s="181">
        <f t="shared" si="78"/>
        <v>45292</v>
      </c>
      <c r="B244" s="485"/>
      <c r="C244" s="490"/>
      <c r="D244" s="521"/>
      <c r="E244" s="218" t="e">
        <f>DATE(YEAR(E243),MONTH(E243)+3,DAY(E243)-1)</f>
        <v>#NUM!</v>
      </c>
      <c r="F244" s="212" t="e">
        <f t="shared" si="92"/>
        <v>#NUM!</v>
      </c>
      <c r="G244" s="213" t="e">
        <f t="shared" si="93"/>
        <v>#NUM!</v>
      </c>
      <c r="H244" s="212" t="e">
        <f t="shared" si="94"/>
        <v>#NUM!</v>
      </c>
      <c r="I244" s="219">
        <f>MAX(I245:I248)</f>
        <v>9</v>
      </c>
      <c r="J244" s="220" t="e">
        <f>DATE(YEAR(J243)+1,MONTH(J243),DAY(J243))</f>
        <v>#NUM!</v>
      </c>
      <c r="K244" s="506" t="str">
        <f t="shared" si="82"/>
        <v>+Inflat.-P</v>
      </c>
      <c r="L244" s="508" t="e">
        <f>IF(M239="Stufe A",IF(AND(L240="Auswahl treffen",D243&gt;=0,D243&lt;=1000),J239,IF(AND(L240="Vermögend und ambulant",D243&gt;8,D243&lt;=1000),130,IF(AND(L240="Vermögend und ambulant",D243&gt;4,D243&lt;=8),158,IF(AND(L240="Vermögend und ambulant",D243&gt;2,D243&lt;=4),192,IF(AND(L240="Vermögend und ambulant",D243&gt;1,D243&lt;=2),208,IF(AND(L240="Vermögend und ambulant",D243&gt;0,D243&lt;=1),298,IF(AND(L240="Vermögend und stationär",D243&gt;8,D243&lt;=1000),78,IF(AND(L240="Vermögend und stationär",D243&gt;4,D243&lt;=8),91,IF(AND(L240="Vermögend und stationär",D243&gt;2,D243&lt;=4),140,IF(AND(L240="Vermögend und stationär",D243&gt;1,D243&lt;=2),158,IF(AND(L240="Vermögend und stationär",D243&gt;0,D243&lt;=1),200,IF(AND(L240="Mittellos und ambulant",D243&gt;8,D243&lt;=1000),105,IF(AND(L240="Mittellos und ambulant",D243&gt;4,D243&lt;=8),122,IF(AND(L240="Mittellos und ambulant",D243&gt;2,D243&lt;=4),151,IF(AND(L240="Mittellos und ambulant",D243&gt;1,D243&lt;=2),170,IF(AND(L240="Mittellos und ambulant",D243&gt;0,D243&lt;=1),208,IF(AND(L240="Mittellos und stationär",D243&gt;8,D243&lt;=1000),62,IF(AND(L240="Mittellos und stationär",D243&gt;4,D243&lt;=8),87,IF(AND(L240="Mittellos und stationär",D243&gt;2,D243&lt;=4),124,IF(AND(L240="Mittellos und stationär",D243&gt;1,D243&lt;=2),129,IF(AND(L240="Mittellos und stationär",D243&gt;0,D243&lt;=1),194,""))))))))))))))))))))),IF(M239="Stufe B",IF(AND(L240="Auswahl treffen",D243&gt;=0,D243&lt;=1000),J239,IF(AND(L240="Vermögend und ambulant",D243&gt;8,D243&lt;=1000),161,IF(AND(L240="Vermögend und ambulant",D243&gt;4,D243&lt;=8),196,IF(AND(L240="Vermögend und ambulant",D243&gt;2,D243&lt;=4),238,IF(AND(L240="Vermögend und ambulant",D243&gt;1,D243&lt;=2),258,IF(AND(L240="Vermögend und ambulant",D243&gt;0,D243&lt;=1),370,IF(AND(L240="Vermögend und stationär",D243&gt;8,D243&lt;=1000),96,IF(AND(L240="Vermögend und stationär",D243&gt;4,D243&lt;=8),113,IF(AND(L240="Vermögend und stationär",D243&gt;2,D243&lt;=4),174,IF(AND(L240="Vermögend und stationär",D243&gt;1,D243&lt;=2),196,IF(AND(L240="Vermögend und stationär",D243&gt;0,D243&lt;=1),249,IF(AND(L240="Mittellos und ambulant",D243&gt;8,D243&lt;=1000),130,IF(AND(L240="Mittellos und ambulant",D243&gt;4,D243&lt;=8),151,IF(AND(L240="Mittellos und ambulant",D243&gt;2,D243&lt;=4),188,IF(AND(L240="Mittellos und ambulant",D243&gt;1,D243&lt;=2),211,IF(AND(L240="Mittellos und ambulant",D243&gt;0,D243&lt;=1),258,IF(AND(L240="Mittellos und stationär",D243&gt;8,D243&lt;=1000),78,IF(AND(L240="Mittellos und stationär",D243&gt;4,D243&lt;=8),107,IF(AND(L240="Mittellos und stationär",D243&gt;2,D243&lt;=4),154,IF(AND(L240="Mittellos und stationär",D243&gt;1,D243&lt;=2),158,IF(AND(L240="Mittellos und stationär",D243&gt;0,D243&lt;=1),241,""))))))))))))))))))))),IF(M239="Stufe C",IF(AND(L240="Auswahl treffen",D243&gt;=0,D243&lt;=1000),J239,IF(AND(L240="Vermögend und ambulant",D243&gt;8,D243&lt;=1000),211,IF(AND(L240="Vermögend und ambulant",D243&gt;4,D243&lt;=8),257,IF(AND(L240="Vermögend und ambulant",D243&gt;2,D243&lt;=4),312,IF(AND(L240="Vermögend und ambulant",D243&gt;1,D243&lt;=2),339,IF(AND(L240="Vermögend und ambulant",D243&gt;0,D243&lt;=1),486,IF(AND(L240="Vermögend und stationär",D243&gt;8,D243&lt;=1000),127,IF(AND(L240="Vermögend und stationär",D243&gt;4,D243&lt;=8),149,IF(AND(L240="Vermögend und stationär",D243&gt;2,D243&lt;=4),229,IF(AND(L240="Vermögend und stationär",D243&gt;1,D243&lt;=2),257,IF(AND(L240="Vermögend und stationär",D243&gt;0,D243&lt;=1),327,IF(AND(L240="Mittellos und ambulant",D243&gt;8,D243&lt;=1000),171,IF(AND(L240="Mittellos und ambulant",D243&gt;4,D243&lt;=8),198,IF(AND(L240="Mittellos und ambulant",D243&gt;2,D243&lt;=4),246,IF(AND(L240="Mittellos und ambulant",D243&gt;1,D243&lt;=2),277,IF(AND(L240="Mittellos und ambulant",D243&gt;0,D243&lt;=1),339,IF(AND(L240="Mittellos und stationär",D243&gt;8,D243&lt;=1000),102,IF(AND(L240="Mittellos und stationär",D243&gt;4,D243&lt;=8),141,IF(AND(L240="Mittellos und stationär",D243&gt;2,D243&lt;=4),202,IF(AND(L240="Mittellos und stationär",D243&gt;1,D243&lt;=2),208,IF(AND(L240="Mittellos und stationär",D243&gt;0,D243&lt;=1),317,""))))))))))))))))))))),"")))*3+(J239*90)</f>
        <v>#NUM!</v>
      </c>
      <c r="M244" s="507" t="str">
        <f>CONCATENATE(K244, K243)</f>
        <v>+Inflat.-P</v>
      </c>
      <c r="N244" s="216"/>
      <c r="O244" s="188" t="s">
        <v>118</v>
      </c>
      <c r="P244" s="188"/>
      <c r="Q244" s="221"/>
      <c r="R244" s="199"/>
      <c r="S244" s="190"/>
      <c r="T244" s="190"/>
      <c r="U244" s="191"/>
      <c r="V244" s="192"/>
      <c r="W244" s="222" t="s">
        <v>118</v>
      </c>
      <c r="X244" s="222" t="s">
        <v>117</v>
      </c>
      <c r="Y244" s="191" t="s">
        <v>26</v>
      </c>
      <c r="Z244" s="192"/>
      <c r="AA244" s="190"/>
      <c r="AB244" s="190"/>
      <c r="AC244" s="191"/>
      <c r="AD244" s="192"/>
      <c r="AE244" s="190"/>
      <c r="AF244" s="190"/>
      <c r="AG244" s="191"/>
      <c r="AH244" s="193"/>
      <c r="AI244" s="190"/>
      <c r="AJ244" s="190"/>
      <c r="AK244" s="374"/>
      <c r="AL244" s="348" t="s">
        <v>149</v>
      </c>
      <c r="AM244" s="354"/>
      <c r="AN244" s="354">
        <f>IF(SUM(O240:O248)=SUM(W240:W248), 0, SUM(O240:O248)-SUM(W240:W248))</f>
        <v>0</v>
      </c>
      <c r="AO244" s="354"/>
      <c r="AP244" s="354"/>
      <c r="AQ244" s="350">
        <f>AM244+AN244+AO244+AP244</f>
        <v>0</v>
      </c>
      <c r="AR244" s="769"/>
      <c r="AS244" s="769"/>
      <c r="AT244" s="769"/>
      <c r="AW244"/>
      <c r="AX244"/>
      <c r="AY244" s="280"/>
      <c r="AZ244"/>
      <c r="BA244"/>
      <c r="BB244"/>
      <c r="BC244"/>
      <c r="BD244"/>
      <c r="BE244"/>
      <c r="BF244"/>
      <c r="BG244" s="280"/>
      <c r="BH244"/>
      <c r="BI244"/>
      <c r="BJ244"/>
      <c r="BK244"/>
      <c r="BL244"/>
      <c r="BM244"/>
      <c r="BN244"/>
      <c r="BO244"/>
    </row>
    <row r="245" spans="1:67" ht="22.25" customHeight="1">
      <c r="A245" s="181">
        <f t="shared" si="78"/>
        <v>45292</v>
      </c>
      <c r="B245" s="484">
        <f>YEAR($A246)-1</f>
        <v>2023</v>
      </c>
      <c r="C245" s="489" t="s">
        <v>158</v>
      </c>
      <c r="D245" s="520" t="e">
        <f>D243+1</f>
        <v>#NUM!</v>
      </c>
      <c r="E245" s="194" t="e">
        <f>DATE(YEAR(E244),MONTH(E244),DAY(E244)+1)</f>
        <v>#NUM!</v>
      </c>
      <c r="F245" s="195" t="e">
        <f t="shared" si="92"/>
        <v>#NUM!</v>
      </c>
      <c r="G245" s="196" t="e">
        <f t="shared" si="93"/>
        <v>#NUM!</v>
      </c>
      <c r="H245" s="195" t="e">
        <f t="shared" si="94"/>
        <v>#NUM!</v>
      </c>
      <c r="I245" s="197">
        <f>IF(J247&lt;13,J247,"")</f>
        <v>9</v>
      </c>
      <c r="J245" s="224">
        <f>G240</f>
        <v>0</v>
      </c>
      <c r="K245" s="501" t="str">
        <f t="shared" si="82"/>
        <v/>
      </c>
      <c r="L245" s="471"/>
      <c r="M245" s="473" t="e">
        <f ca="1">SUM(J240-E246)&amp;" Tage"</f>
        <v>#NUM!</v>
      </c>
      <c r="N245" s="200"/>
      <c r="O245" s="201"/>
      <c r="P245" s="201"/>
      <c r="Q245" s="202"/>
      <c r="R245" s="189"/>
      <c r="S245" s="203"/>
      <c r="T245" s="203"/>
      <c r="U245" s="204"/>
      <c r="V245" s="192"/>
      <c r="W245" s="203"/>
      <c r="X245" s="203"/>
      <c r="Y245" s="204"/>
      <c r="Z245" s="192"/>
      <c r="AA245" s="203"/>
      <c r="AB245" s="203"/>
      <c r="AC245" s="204"/>
      <c r="AD245" s="192"/>
      <c r="AE245" s="203"/>
      <c r="AF245" s="203"/>
      <c r="AG245" s="204"/>
      <c r="AH245" s="193"/>
      <c r="AI245" s="203"/>
      <c r="AJ245" s="203"/>
      <c r="AK245" s="375"/>
      <c r="AL245" s="348"/>
      <c r="AM245" s="354"/>
      <c r="AN245" s="354"/>
      <c r="AO245" s="354"/>
      <c r="AP245" s="354"/>
      <c r="AQ245" s="350"/>
      <c r="AR245" s="769"/>
      <c r="AS245" s="769"/>
      <c r="AT245" s="769"/>
      <c r="AW245"/>
      <c r="AX245"/>
      <c r="AY245" s="280"/>
      <c r="AZ245"/>
      <c r="BA245"/>
      <c r="BB245"/>
      <c r="BC245"/>
      <c r="BD245"/>
      <c r="BE245"/>
      <c r="BF245"/>
      <c r="BG245" s="280"/>
      <c r="BH245"/>
      <c r="BI245"/>
      <c r="BJ245"/>
      <c r="BK245"/>
      <c r="BL245"/>
      <c r="BM245"/>
      <c r="BN245"/>
      <c r="BO245"/>
    </row>
    <row r="246" spans="1:67" ht="22.25" customHeight="1">
      <c r="A246" s="181">
        <f t="shared" si="78"/>
        <v>45292</v>
      </c>
      <c r="B246" s="485"/>
      <c r="C246" s="490"/>
      <c r="D246" s="521"/>
      <c r="E246" s="194" t="e">
        <f>DATE(YEAR(E245),MONTH(E245)+3,DAY(E245)-1)</f>
        <v>#NUM!</v>
      </c>
      <c r="F246" s="195" t="e">
        <f t="shared" si="92"/>
        <v>#NUM!</v>
      </c>
      <c r="G246" s="196" t="e">
        <f t="shared" si="93"/>
        <v>#NUM!</v>
      </c>
      <c r="H246" s="195" t="e">
        <f t="shared" si="94"/>
        <v>#NUM!</v>
      </c>
      <c r="I246" s="244">
        <f>IF(J248&lt;13,J248,"")</f>
        <v>6</v>
      </c>
      <c r="J246" s="224">
        <f>J245+3</f>
        <v>3</v>
      </c>
      <c r="K246" s="506" t="str">
        <f t="shared" si="82"/>
        <v>+Inflat.-P</v>
      </c>
      <c r="L246" s="511" t="e">
        <f>IF(M239="Stufe A",IF(AND(L240="Auswahl treffen",D245&gt;=0,D245&lt;=1000),J239,IF(AND(L240="Vermögend und ambulant",D245&gt;8,D245&lt;=1000),130,IF(AND(L240="Vermögend und ambulant",D245&gt;4,D245&lt;=8),158,IF(AND(L240="Vermögend und ambulant",D245&gt;2,D245&lt;=4),192,IF(AND(L240="Vermögend und ambulant",D245&gt;1,D245&lt;=2),208,IF(AND(L240="Vermögend und ambulant",D245&gt;0,D245&lt;=1),298,IF(AND(L240="Vermögend und stationär",D245&gt;8,D245&lt;=1000),78,IF(AND(L240="Vermögend und stationär",D245&gt;4,D245&lt;=8),91,IF(AND(L240="Vermögend und stationär",D245&gt;2,D245&lt;=4),140,IF(AND(L240="Vermögend und stationär",D245&gt;1,D245&lt;=2),158,IF(AND(L240="Vermögend und stationär",D245&gt;0,D245&lt;=1),200,IF(AND(L240="Mittellos und ambulant",D245&gt;8,D245&lt;=1000),105,IF(AND(L240="Mittellos und ambulant",D245&gt;4,D245&lt;=8),122,IF(AND(L240="Mittellos und ambulant",D245&gt;2,D245&lt;=4),151,IF(AND(L240="Mittellos und ambulant",D245&gt;1,D245&lt;=2),170,IF(AND(L240="Mittellos und ambulant",D245&gt;0,D245&lt;=1),208,IF(AND(L240="Mittellos und stationär",D245&gt;8,D245&lt;=1000),62,IF(AND(L240="Mittellos und stationär",D245&gt;4,D245&lt;=8),87,IF(AND(L240="Mittellos und stationär",D245&gt;2,D245&lt;=4),124,IF(AND(L240="Mittellos und stationär",D245&gt;1,D245&lt;=2),129,IF(AND(L240="Mittellos und stationär",D245&gt;0,D245&lt;=1),194,""))))))))))))))))))))),IF(M239="Stufe B",IF(AND(L240="Auswahl treffen",D245&gt;=0,D245&lt;=1000),J239,IF(AND(L240="Vermögend und ambulant",D245&gt;8,D245&lt;=1000),161,IF(AND(L240="Vermögend und ambulant",D245&gt;4,D245&lt;=8),196,IF(AND(L240="Vermögend und ambulant",D245&gt;2,D245&lt;=4),238,IF(AND(L240="Vermögend und ambulant",D245&gt;1,D245&lt;=2),258,IF(AND(L240="Vermögend und ambulant",D245&gt;0,D245&lt;=1),370,IF(AND(L240="Vermögend und stationär",D245&gt;8,D245&lt;=1000),96,IF(AND(L240="Vermögend und stationär",D245&gt;4,D245&lt;=8),113,IF(AND(L240="Vermögend und stationär",D245&gt;2,D245&lt;=4),174,IF(AND(L240="Vermögend und stationär",D245&gt;1,D245&lt;=2),196,IF(AND(L240="Vermögend und stationär",D245&gt;0,D245&lt;=1),249,IF(AND(L240="Mittellos und ambulant",D245&gt;8,D245&lt;=1000),130,IF(AND(L240="Mittellos und ambulant",D245&gt;4,D245&lt;=8),151,IF(AND(L240="Mittellos und ambulant",D245&gt;2,D245&lt;=4),188,IF(AND(L240="Mittellos und ambulant",D245&gt;1,D245&lt;=2),211,IF(AND(L240="Mittellos und ambulant",D245&gt;0,D245&lt;=1),258,IF(AND(L240="Mittellos und stationär",D245&gt;8,D245&lt;=1000),78,IF(AND(L240="Mittellos und stationär",D245&gt;4,D245&lt;=8),107,IF(AND(L240="Mittellos und stationär",D245&gt;2,D245&lt;=4),154,IF(AND(L240="Mittellos und stationär",D245&gt;1,D245&lt;=2),158,IF(AND(L240="Mittellos und stationär",D245&gt;0,D245&lt;=1),241,""))))))))))))))))))))),IF(M239="Stufe C",IF(AND(L240="Auswahl treffen",D245&gt;=0,D245&lt;=1000),J239,IF(AND(L240="Vermögend und ambulant",D245&gt;8,D245&lt;=1000),211,IF(AND(L240="Vermögend und ambulant",D245&gt;4,D245&lt;=8),257,IF(AND(L240="Vermögend und ambulant",D245&gt;2,D245&lt;=4),312,IF(AND(L240="Vermögend und ambulant",D245&gt;1,D245&lt;=2),339,IF(AND(L240="Vermögend und ambulant",D245&gt;0,D245&lt;=1),486,IF(AND(L240="Vermögend und stationär",D245&gt;8,D245&lt;=1000),127,IF(AND(L240="Vermögend und stationär",D245&gt;4,D245&lt;=8),149,IF(AND(L240="Vermögend und stationär",D245&gt;2,D245&lt;=4),229,IF(AND(L240="Vermögend und stationär",D245&gt;1,D245&lt;=2),257,IF(AND(L240="Vermögend und stationär",D245&gt;0,D245&lt;=1),327,IF(AND(L240="Mittellos und ambulant",D245&gt;8,D245&lt;=1000),171,IF(AND(L240="Mittellos und ambulant",D245&gt;4,D245&lt;=8),198,IF(AND(L240="Mittellos und ambulant",D245&gt;2,D245&lt;=4),246,IF(AND(L240="Mittellos und ambulant",D245&gt;1,D245&lt;=2),277,IF(AND(L240="Mittellos und ambulant",D245&gt;0,D245&lt;=1),339,IF(AND(L240="Mittellos und stationär",D245&gt;8,D245&lt;=1000),102,IF(AND(L240="Mittellos und stationär",D245&gt;4,D245&lt;=8),141,IF(AND(L240="Mittellos und stationär",D245&gt;2,D245&lt;=4),202,IF(AND(L240="Mittellos und stationär",D245&gt;1,D245&lt;=2),208,IF(AND(L240="Mittellos und stationär",D245&gt;0,D245&lt;=1),317,""))))))))))))))))))))),"")))*3+(J239*90)</f>
        <v>#NUM!</v>
      </c>
      <c r="M246" s="507" t="str">
        <f>CONCATENATE(K246, K245)</f>
        <v>+Inflat.-P</v>
      </c>
      <c r="N246" s="206"/>
      <c r="O246" s="207"/>
      <c r="P246" s="206" t="s">
        <v>118</v>
      </c>
      <c r="Q246" s="226"/>
      <c r="R246" s="189"/>
      <c r="S246" s="203"/>
      <c r="T246" s="203"/>
      <c r="U246" s="204"/>
      <c r="V246" s="192"/>
      <c r="W246" s="203"/>
      <c r="X246" s="203"/>
      <c r="Y246" s="204"/>
      <c r="Z246" s="192"/>
      <c r="AA246" s="209" t="s">
        <v>118</v>
      </c>
      <c r="AB246" s="209" t="s">
        <v>117</v>
      </c>
      <c r="AC246" s="204" t="s">
        <v>26</v>
      </c>
      <c r="AD246" s="192"/>
      <c r="AE246" s="203"/>
      <c r="AF246" s="203"/>
      <c r="AG246" s="204"/>
      <c r="AH246" s="193"/>
      <c r="AI246" s="203"/>
      <c r="AJ246" s="203"/>
      <c r="AK246" s="375"/>
      <c r="AL246" s="348" t="s">
        <v>150</v>
      </c>
      <c r="AM246" s="354"/>
      <c r="AN246" s="354"/>
      <c r="AO246" s="354">
        <f>IF(SUM(P240:P248)=SUM(AA240:AA248), 0, SUM(P240:P248)-SUM(AA240:AA248))</f>
        <v>0</v>
      </c>
      <c r="AP246" s="354"/>
      <c r="AQ246" s="350">
        <f>AM246+AN246+AO246+AP246</f>
        <v>0</v>
      </c>
      <c r="AR246" s="769"/>
      <c r="AS246" s="769"/>
      <c r="AT246" s="769"/>
      <c r="AW246"/>
      <c r="AX246"/>
      <c r="AY246" s="280"/>
      <c r="AZ246"/>
      <c r="BA246"/>
      <c r="BB246"/>
      <c r="BC246"/>
      <c r="BD246"/>
      <c r="BE246"/>
      <c r="BF246"/>
      <c r="BG246" s="280"/>
      <c r="BH246"/>
      <c r="BI246"/>
      <c r="BJ246"/>
      <c r="BK246"/>
      <c r="BL246"/>
      <c r="BM246"/>
      <c r="BN246"/>
      <c r="BO246"/>
    </row>
    <row r="247" spans="1:67" ht="22.25" customHeight="1">
      <c r="A247" s="181">
        <f t="shared" si="78"/>
        <v>45292</v>
      </c>
      <c r="B247" s="486"/>
      <c r="C247" s="489" t="s">
        <v>158</v>
      </c>
      <c r="D247" s="522" t="e">
        <f>D245+1</f>
        <v>#NUM!</v>
      </c>
      <c r="E247" s="211" t="e">
        <f>DATE(YEAR(E246),MONTH(E246),DAY(E246)+1)</f>
        <v>#NUM!</v>
      </c>
      <c r="F247" s="227" t="e">
        <f t="shared" si="92"/>
        <v>#NUM!</v>
      </c>
      <c r="G247" s="228" t="e">
        <f t="shared" si="93"/>
        <v>#NUM!</v>
      </c>
      <c r="H247" s="227" t="e">
        <f t="shared" si="94"/>
        <v>#NUM!</v>
      </c>
      <c r="I247" s="231">
        <f>IF(J246&lt;13,J246,"")</f>
        <v>3</v>
      </c>
      <c r="J247" s="230">
        <f>J248+3</f>
        <v>9</v>
      </c>
      <c r="K247" s="501" t="str">
        <f t="shared" si="82"/>
        <v/>
      </c>
      <c r="L247" s="471"/>
      <c r="M247" s="473" t="e">
        <f ca="1">SUM(J240-E248)&amp;" Tage"</f>
        <v>#NUM!</v>
      </c>
      <c r="N247" s="216"/>
      <c r="O247" s="188"/>
      <c r="P247" s="188"/>
      <c r="Q247" s="217"/>
      <c r="R247" s="189"/>
      <c r="S247" s="190"/>
      <c r="T247" s="190"/>
      <c r="U247" s="191"/>
      <c r="V247" s="192"/>
      <c r="W247" s="190"/>
      <c r="X247" s="190"/>
      <c r="Y247" s="191"/>
      <c r="Z247" s="192"/>
      <c r="AA247" s="190"/>
      <c r="AB247" s="190"/>
      <c r="AC247" s="191"/>
      <c r="AD247" s="192"/>
      <c r="AE247" s="190"/>
      <c r="AF247" s="190"/>
      <c r="AG247" s="191"/>
      <c r="AH247" s="193"/>
      <c r="AI247" s="190"/>
      <c r="AJ247" s="190"/>
      <c r="AK247" s="374"/>
      <c r="AL247" s="348"/>
      <c r="AM247" s="354"/>
      <c r="AN247" s="354"/>
      <c r="AO247" s="354"/>
      <c r="AP247" s="354"/>
      <c r="AQ247" s="350"/>
      <c r="AR247" s="769"/>
      <c r="AS247" s="769"/>
      <c r="AT247" s="769"/>
      <c r="AW247"/>
      <c r="AX247"/>
      <c r="AY247" s="280"/>
      <c r="AZ247"/>
      <c r="BA247"/>
      <c r="BB247"/>
      <c r="BC247"/>
      <c r="BD247"/>
      <c r="BE247"/>
      <c r="BF247"/>
      <c r="BG247" s="280"/>
      <c r="BH247"/>
      <c r="BI247"/>
      <c r="BJ247"/>
      <c r="BK247"/>
      <c r="BL247"/>
      <c r="BM247"/>
      <c r="BN247"/>
      <c r="BO247"/>
    </row>
    <row r="248" spans="1:67" ht="22.25" customHeight="1">
      <c r="A248" s="181">
        <f t="shared" si="78"/>
        <v>45292</v>
      </c>
      <c r="B248" s="485"/>
      <c r="C248" s="490"/>
      <c r="D248" s="521"/>
      <c r="E248" s="218" t="e">
        <f>DATE(YEAR(E247),MONTH(E247)+3,DAY(E247)-1)</f>
        <v>#NUM!</v>
      </c>
      <c r="F248" s="227" t="e">
        <f t="shared" si="92"/>
        <v>#NUM!</v>
      </c>
      <c r="G248" s="228" t="e">
        <f t="shared" si="93"/>
        <v>#NUM!</v>
      </c>
      <c r="H248" s="227" t="e">
        <f t="shared" si="94"/>
        <v>#NUM!</v>
      </c>
      <c r="I248" s="231">
        <f>IF(J245&lt;13,J245,"")</f>
        <v>0</v>
      </c>
      <c r="J248" s="230">
        <f>J246+3</f>
        <v>6</v>
      </c>
      <c r="K248" s="506" t="str">
        <f t="shared" si="82"/>
        <v>+Inflat.-P</v>
      </c>
      <c r="L248" s="508" t="e">
        <f>IF(M239="Stufe A",IF(AND(L240="Auswahl treffen",D247&gt;=0,D247&lt;=1000),J239,IF(AND(L240="Vermögend und ambulant",D247&gt;8,D247&lt;=1000),130,IF(AND(L240="Vermögend und ambulant",D247&gt;4,D247&lt;=8),158,IF(AND(L240="Vermögend und ambulant",D247&gt;2,D247&lt;=4),192,IF(AND(L240="Vermögend und ambulant",D247&gt;1,D247&lt;=2),208,IF(AND(L240="Vermögend und ambulant",D247&gt;0,D247&lt;=1),298,IF(AND(L240="Vermögend und stationär",D247&gt;8,D247&lt;=1000),78,IF(AND(L240="Vermögend und stationär",D247&gt;4,D247&lt;=8),91,IF(AND(L240="Vermögend und stationär",D247&gt;2,D247&lt;=4),140,IF(AND(L240="Vermögend und stationär",D247&gt;1,D247&lt;=2),158,IF(AND(L240="Vermögend und stationär",D247&gt;0,D247&lt;=1),200,IF(AND(L240="Mittellos und ambulant",D247&gt;8,D247&lt;=1000),105,IF(AND(L240="Mittellos und ambulant",D247&gt;4,D247&lt;=8),122,IF(AND(L240="Mittellos und ambulant",D247&gt;2,D247&lt;=4),151,IF(AND(L240="Mittellos und ambulant",D247&gt;1,D247&lt;=2),170,IF(AND(L240="Mittellos und ambulant",D247&gt;0,D247&lt;=1),208,IF(AND(L240="Mittellos und stationär",D247&gt;8,D247&lt;=1000),62,IF(AND(L240="Mittellos und stationär",D247&gt;4,D247&lt;=8),87,IF(AND(L240="Mittellos und stationär",D247&gt;2,D247&lt;=4),124,IF(AND(L240="Mittellos und stationär",D247&gt;1,D247&lt;=2),129,IF(AND(L240="Mittellos und stationär",D247&gt;0,D247&lt;=1),194,""))))))))))))))))))))),IF(M239="Stufe B",IF(AND(L240="Auswahl treffen",D247&gt;=0,D247&lt;=1000),J239,IF(AND(L240="Vermögend und ambulant",D247&gt;8,D247&lt;=1000),161,IF(AND(L240="Vermögend und ambulant",D247&gt;4,D247&lt;=8),196,IF(AND(L240="Vermögend und ambulant",D247&gt;2,D247&lt;=4),238,IF(AND(L240="Vermögend und ambulant",D247&gt;1,D247&lt;=2),258,IF(AND(L240="Vermögend und ambulant",D247&gt;0,D247&lt;=1),370,IF(AND(L240="Vermögend und stationär",D247&gt;8,D247&lt;=1000),96,IF(AND(L240="Vermögend und stationär",D247&gt;4,D247&lt;=8),113,IF(AND(L240="Vermögend und stationär",D247&gt;2,D247&lt;=4),174,IF(AND(L240="Vermögend und stationär",D247&gt;1,D247&lt;=2),196,IF(AND(L240="Vermögend und stationär",D247&gt;0,D247&lt;=1),249,IF(AND(L240="Mittellos und ambulant",D247&gt;8,D247&lt;=1000),130,IF(AND(L240="Mittellos und ambulant",D247&gt;4,D247&lt;=8),151,IF(AND(L240="Mittellos und ambulant",D247&gt;2,D247&lt;=4),188,IF(AND(L240="Mittellos und ambulant",D247&gt;1,D247&lt;=2),211,IF(AND(L240="Mittellos und ambulant",D247&gt;0,D247&lt;=1),258,IF(AND(L240="Mittellos und stationär",D247&gt;8,D247&lt;=1000),78,IF(AND(L240="Mittellos und stationär",D247&gt;4,D247&lt;=8),107,IF(AND(L240="Mittellos und stationär",D247&gt;2,D247&lt;=4),154,IF(AND(L240="Mittellos und stationär",D247&gt;1,D247&lt;=2),158,IF(AND(L240="Mittellos und stationär",D247&gt;0,D247&lt;=1),241,""))))))))))))))))))))),IF(M239="Stufe C",IF(AND(L240="Auswahl treffen",D247&gt;=0,D247&lt;=1000),J239,IF(AND(L240="Vermögend und ambulant",D247&gt;8,D247&lt;=1000),211,IF(AND(L240="Vermögend und ambulant",D247&gt;4,D247&lt;=8),257,IF(AND(L240="Vermögend und ambulant",D247&gt;2,D247&lt;=4),312,IF(AND(L240="Vermögend und ambulant",D247&gt;1,D247&lt;=2),339,IF(AND(L240="Vermögend und ambulant",D247&gt;0,D247&lt;=1),486,IF(AND(L240="Vermögend und stationär",D247&gt;8,D247&lt;=1000),127,IF(AND(L240="Vermögend und stationär",D247&gt;4,D247&lt;=8),149,IF(AND(L240="Vermögend und stationär",D247&gt;2,D247&lt;=4),229,IF(AND(L240="Vermögend und stationär",D247&gt;1,D247&lt;=2),257,IF(AND(L240="Vermögend und stationär",D247&gt;0,D247&lt;=1),327,IF(AND(L240="Mittellos und ambulant",D247&gt;8,D247&lt;=1000),171,IF(AND(L240="Mittellos und ambulant",D247&gt;4,D247&lt;=8),198,IF(AND(L240="Mittellos und ambulant",D247&gt;2,D247&lt;=4),246,IF(AND(L240="Mittellos und ambulant",D247&gt;1,D247&lt;=2),277,IF(AND(L240="Mittellos und ambulant",D247&gt;0,D247&lt;=1),339,IF(AND(L240="Mittellos und stationär",D247&gt;8,D247&lt;=1000),102,IF(AND(L240="Mittellos und stationär",D247&gt;4,D247&lt;=8),141,IF(AND(L240="Mittellos und stationär",D247&gt;2,D247&lt;=4),202,IF(AND(L240="Mittellos und stationär",D247&gt;1,D247&lt;=2),208,IF(AND(L240="Mittellos und stationär",D247&gt;0,D247&lt;=1),317,""))))))))))))))))))))),"")))*3+(J239*90)</f>
        <v>#NUM!</v>
      </c>
      <c r="M248" s="507" t="str">
        <f>CONCATENATE(K248, K247)</f>
        <v>+Inflat.-P</v>
      </c>
      <c r="N248" s="216"/>
      <c r="O248" s="188"/>
      <c r="P248" s="188"/>
      <c r="Q248" s="217" t="s">
        <v>118</v>
      </c>
      <c r="R248" s="189"/>
      <c r="S248" s="190"/>
      <c r="T248" s="190"/>
      <c r="U248" s="191"/>
      <c r="V248" s="192"/>
      <c r="W248" s="190"/>
      <c r="X248" s="190"/>
      <c r="Y248" s="191"/>
      <c r="Z248" s="192"/>
      <c r="AA248" s="190"/>
      <c r="AB248" s="190"/>
      <c r="AC248" s="191"/>
      <c r="AD248" s="192"/>
      <c r="AE248" s="190" t="s">
        <v>118</v>
      </c>
      <c r="AF248" s="190" t="s">
        <v>117</v>
      </c>
      <c r="AG248" s="191" t="s">
        <v>26</v>
      </c>
      <c r="AH248" s="193"/>
      <c r="AI248" s="190" t="s">
        <v>118</v>
      </c>
      <c r="AJ248" s="190" t="s">
        <v>117</v>
      </c>
      <c r="AK248" s="374" t="s">
        <v>26</v>
      </c>
      <c r="AL248" s="348" t="s">
        <v>151</v>
      </c>
      <c r="AM248" s="354"/>
      <c r="AN248" s="354"/>
      <c r="AO248" s="354"/>
      <c r="AP248" s="354">
        <f>IF(SUM(Q240:Q248)=SUM(AE240:AE248,AI240:AI248), 0, SUM(Q240:Q248)-SUM(AE240:AE248,AI240:AI248))</f>
        <v>0</v>
      </c>
      <c r="AQ248" s="350">
        <f>AM248+AN248+AO248+AP248</f>
        <v>0</v>
      </c>
      <c r="AR248" s="769"/>
      <c r="AS248" s="769"/>
      <c r="AT248" s="769"/>
      <c r="AW248"/>
      <c r="AX248"/>
      <c r="AY248" s="280"/>
      <c r="AZ248"/>
      <c r="BA248"/>
      <c r="BB248"/>
      <c r="BC248"/>
      <c r="BD248"/>
      <c r="BE248"/>
      <c r="BF248"/>
      <c r="BG248" s="280"/>
      <c r="BH248"/>
      <c r="BI248"/>
      <c r="BJ248"/>
      <c r="BK248"/>
      <c r="BL248"/>
      <c r="BM248"/>
      <c r="BN248"/>
      <c r="BO248"/>
    </row>
    <row r="249" spans="1:67" ht="22" customHeight="1">
      <c r="A249" s="181">
        <f t="shared" si="78"/>
        <v>45292</v>
      </c>
      <c r="B249" s="232" t="s">
        <v>74</v>
      </c>
      <c r="C249" s="233" t="s">
        <v>75</v>
      </c>
      <c r="D249" s="234" t="s">
        <v>76</v>
      </c>
      <c r="E249" s="235" t="s">
        <v>11</v>
      </c>
      <c r="F249" s="235" t="s">
        <v>4</v>
      </c>
      <c r="G249" s="235" t="s">
        <v>5</v>
      </c>
      <c r="H249" s="235" t="s">
        <v>6</v>
      </c>
      <c r="I249" s="236" t="s">
        <v>77</v>
      </c>
      <c r="J249" s="479"/>
      <c r="K249" s="501" t="str">
        <f t="shared" si="82"/>
        <v/>
      </c>
      <c r="L249" s="479" t="str">
        <f>IFERROR(VLOOKUP(B250,'Aktuelle Einnahmen'!A2:J104,10,0),"")</f>
        <v/>
      </c>
      <c r="M249" s="512" t="str">
        <f>M239</f>
        <v>Stufe C</v>
      </c>
      <c r="N249" s="237"/>
      <c r="O249" s="238"/>
      <c r="P249" s="238"/>
      <c r="Q249" s="239"/>
      <c r="R249" s="240"/>
      <c r="S249" s="241"/>
      <c r="T249" s="241"/>
      <c r="U249" s="242"/>
      <c r="V249" s="243"/>
      <c r="W249" s="241"/>
      <c r="X249" s="241"/>
      <c r="Y249" s="242"/>
      <c r="Z249" s="243"/>
      <c r="AA249" s="241"/>
      <c r="AB249" s="241"/>
      <c r="AC249" s="242"/>
      <c r="AD249" s="243"/>
      <c r="AE249" s="241"/>
      <c r="AF249" s="241"/>
      <c r="AG249" s="242"/>
      <c r="AH249" s="240"/>
      <c r="AI249" s="241"/>
      <c r="AJ249" s="241"/>
      <c r="AK249" s="377"/>
      <c r="AL249" s="347"/>
      <c r="AM249" s="353"/>
      <c r="AN249" s="353"/>
      <c r="AO249" s="353"/>
      <c r="AP249" s="353"/>
      <c r="AQ249" s="349"/>
      <c r="AR249" s="768"/>
      <c r="AS249" s="768"/>
      <c r="AT249" s="768"/>
      <c r="AW249"/>
      <c r="AX249"/>
      <c r="AY249" s="280"/>
      <c r="AZ249"/>
      <c r="BA249"/>
      <c r="BB249"/>
      <c r="BC249"/>
      <c r="BD249"/>
      <c r="BE249"/>
      <c r="BF249"/>
      <c r="BG249" s="280"/>
      <c r="BH249"/>
      <c r="BI249"/>
      <c r="BJ249"/>
      <c r="BK249"/>
      <c r="BL249"/>
      <c r="BM249"/>
      <c r="BN249"/>
      <c r="BO249"/>
    </row>
    <row r="250" spans="1:67" ht="23" customHeight="1">
      <c r="A250" s="181">
        <f t="shared" si="78"/>
        <v>45292</v>
      </c>
      <c r="B250" s="182">
        <v>25</v>
      </c>
      <c r="C250" s="245">
        <f>IFERROR(VLOOKUP($B250,'Aktuelle Einnahmen'!A2:G104,3,0),"")</f>
        <v>0</v>
      </c>
      <c r="D250" s="246">
        <f>IFERROR(VLOOKUP($B250,'Aktuelle Einnahmen'!A2:G104,2,0),"")</f>
        <v>0</v>
      </c>
      <c r="E250" s="247">
        <f>IFERROR(VLOOKUP($B250,'Aktuelle Einnahmen'!A2:G104,4,0),"")</f>
        <v>0</v>
      </c>
      <c r="F250" s="94">
        <f>IFERROR(VLOOKUP($B250,'Aktuelle Einnahmen'!A2:G104,5,0),"")</f>
        <v>0</v>
      </c>
      <c r="G250" s="94">
        <f>IFERROR(VLOOKUP($B250,'Aktuelle Einnahmen'!A2:G104,6,0),"")</f>
        <v>0</v>
      </c>
      <c r="H250" s="94">
        <f>IFERROR(VLOOKUP($B250,'Aktuelle Einnahmen'!A2:G104,7,0),"")</f>
        <v>0</v>
      </c>
      <c r="I250" s="186" t="e">
        <f>DATE(H250,G250,F250)</f>
        <v>#NUM!</v>
      </c>
      <c r="J250" s="472">
        <f ca="1">J240</f>
        <v>45475</v>
      </c>
      <c r="K250" s="501" t="str">
        <f t="shared" si="82"/>
        <v>+Inflat.-P</v>
      </c>
      <c r="L250" s="1262" t="str">
        <f>IFERROR(VLOOKUP(B250,'Aktuelle Einnahmen'!A12:I114,9,0),"")</f>
        <v>Auswahl treffen</v>
      </c>
      <c r="M250" s="1263"/>
      <c r="N250" s="261"/>
      <c r="O250" s="261"/>
      <c r="P250" s="261"/>
      <c r="Q250" s="261"/>
      <c r="R250" s="189"/>
      <c r="S250" s="190"/>
      <c r="T250" s="190"/>
      <c r="U250" s="191"/>
      <c r="V250" s="192"/>
      <c r="W250" s="190"/>
      <c r="X250" s="190"/>
      <c r="Y250" s="191"/>
      <c r="Z250" s="192"/>
      <c r="AA250" s="190"/>
      <c r="AB250" s="190"/>
      <c r="AC250" s="191"/>
      <c r="AD250" s="192"/>
      <c r="AE250" s="190"/>
      <c r="AF250" s="190"/>
      <c r="AG250" s="191"/>
      <c r="AH250" s="193"/>
      <c r="AI250" s="190"/>
      <c r="AJ250" s="190"/>
      <c r="AK250" s="374"/>
      <c r="AL250" s="348"/>
      <c r="AM250" s="354"/>
      <c r="AN250" s="354"/>
      <c r="AO250" s="354"/>
      <c r="AP250" s="354"/>
      <c r="AQ250" s="350"/>
      <c r="AR250" s="769"/>
      <c r="AS250" s="769"/>
      <c r="AT250" s="769"/>
      <c r="AW250"/>
      <c r="AX250"/>
      <c r="AY250" s="280"/>
      <c r="AZ250"/>
      <c r="BA250"/>
      <c r="BB250"/>
      <c r="BC250"/>
      <c r="BD250"/>
      <c r="BE250"/>
      <c r="BF250"/>
      <c r="BG250" s="280"/>
      <c r="BH250"/>
      <c r="BI250"/>
      <c r="BJ250"/>
      <c r="BK250"/>
      <c r="BL250"/>
      <c r="BM250"/>
      <c r="BN250"/>
      <c r="BO250"/>
    </row>
    <row r="251" spans="1:67" ht="22.25" customHeight="1">
      <c r="A251" s="181">
        <f t="shared" si="78"/>
        <v>45292</v>
      </c>
      <c r="B251" s="484" t="e">
        <f>DAY(I250)</f>
        <v>#NUM!</v>
      </c>
      <c r="C251" s="489" t="s">
        <v>158</v>
      </c>
      <c r="D251" s="520" t="e">
        <f>(I251*4)+J251/3+1</f>
        <v>#NUM!</v>
      </c>
      <c r="E251" s="194" t="e">
        <f>J253+1</f>
        <v>#NUM!</v>
      </c>
      <c r="F251" s="195" t="e">
        <f t="shared" ref="F251:F258" si="95">DAY(E251)</f>
        <v>#NUM!</v>
      </c>
      <c r="G251" s="196" t="e">
        <f t="shared" ref="G251:G258" si="96">MONTH(E251)</f>
        <v>#NUM!</v>
      </c>
      <c r="H251" s="195" t="e">
        <f t="shared" ref="H251:H258" si="97">YEAR(E251)</f>
        <v>#NUM!</v>
      </c>
      <c r="I251" s="197" t="e">
        <f>H251-(H250+2000)</f>
        <v>#NUM!</v>
      </c>
      <c r="J251" s="198" t="e">
        <f>G251-G250</f>
        <v>#NUM!</v>
      </c>
      <c r="K251" s="506" t="str">
        <f>L249</f>
        <v/>
      </c>
      <c r="L251" s="469"/>
      <c r="M251" s="473" t="e">
        <f ca="1">SUM(J250-E252)&amp;" Tage"</f>
        <v>#NUM!</v>
      </c>
      <c r="N251" s="206"/>
      <c r="O251" s="201"/>
      <c r="P251" s="201"/>
      <c r="Q251" s="202"/>
      <c r="R251" s="189"/>
      <c r="S251" s="203"/>
      <c r="T251" s="203"/>
      <c r="U251" s="204"/>
      <c r="V251" s="192"/>
      <c r="W251" s="203"/>
      <c r="X251" s="203"/>
      <c r="Y251" s="204"/>
      <c r="Z251" s="192"/>
      <c r="AA251" s="203"/>
      <c r="AB251" s="203"/>
      <c r="AC251" s="204"/>
      <c r="AD251" s="192"/>
      <c r="AE251" s="203"/>
      <c r="AF251" s="203"/>
      <c r="AG251" s="204"/>
      <c r="AH251" s="193"/>
      <c r="AI251" s="203"/>
      <c r="AJ251" s="203"/>
      <c r="AK251" s="375"/>
      <c r="AL251" s="348"/>
      <c r="AM251" s="354"/>
      <c r="AN251" s="354"/>
      <c r="AO251" s="354"/>
      <c r="AP251" s="354"/>
      <c r="AQ251" s="350"/>
      <c r="AR251" s="769"/>
      <c r="AS251" s="769"/>
      <c r="AT251" s="769"/>
      <c r="AW251"/>
      <c r="AX251"/>
      <c r="AY251" s="280"/>
      <c r="AZ251"/>
      <c r="BA251"/>
      <c r="BB251"/>
      <c r="BC251"/>
      <c r="BD251"/>
      <c r="BE251"/>
      <c r="BF251"/>
      <c r="BG251" s="280"/>
      <c r="BH251"/>
      <c r="BI251"/>
      <c r="BJ251"/>
      <c r="BK251"/>
      <c r="BL251"/>
      <c r="BM251"/>
      <c r="BN251"/>
      <c r="BO251"/>
    </row>
    <row r="252" spans="1:67" ht="22.25" customHeight="1">
      <c r="A252" s="181">
        <f t="shared" si="78"/>
        <v>45292</v>
      </c>
      <c r="B252" s="485"/>
      <c r="C252" s="490"/>
      <c r="D252" s="521"/>
      <c r="E252" s="194" t="e">
        <f>DATE(YEAR(E251),MONTH(E251)+3,DAY(E251)-1)</f>
        <v>#NUM!</v>
      </c>
      <c r="F252" s="195" t="e">
        <f t="shared" si="95"/>
        <v>#NUM!</v>
      </c>
      <c r="G252" s="196" t="e">
        <f t="shared" si="96"/>
        <v>#NUM!</v>
      </c>
      <c r="H252" s="195" t="e">
        <f t="shared" si="97"/>
        <v>#NUM!</v>
      </c>
      <c r="I252" s="244">
        <v>-1</v>
      </c>
      <c r="J252" s="198" t="e">
        <f>F251-F250</f>
        <v>#NUM!</v>
      </c>
      <c r="K252" s="501" t="str">
        <f t="shared" si="82"/>
        <v>+Inflat.-P</v>
      </c>
      <c r="L252" s="511" t="e">
        <f>IF(M249="Stufe A",IF(AND(L250="Auswahl treffen",D251&gt;=0,D251&lt;=1000),J249,IF(AND(L250="Vermögend und ambulant",D251&gt;8,D251&lt;=1000),130,IF(AND(L250="Vermögend und ambulant",D251&gt;4,D251&lt;=8),158,IF(AND(L250="Vermögend und ambulant",D251&gt;2,D251&lt;=4),192,IF(AND(L250="Vermögend und ambulant",D251&gt;1,D251&lt;=2),208,IF(AND(L250="Vermögend und ambulant",D251&gt;0,D251&lt;=1),298,IF(AND(L250="Vermögend und stationär",D251&gt;8,D251&lt;=1000),78,IF(AND(L250="Vermögend und stationär",D251&gt;4,D251&lt;=8),91,IF(AND(L250="Vermögend und stationär",D251&gt;2,D251&lt;=4),140,IF(AND(L250="Vermögend und stationär",D251&gt;1,D251&lt;=2),158,IF(AND(L250="Vermögend und stationär",D251&gt;0,D251&lt;=1),200,IF(AND(L250="Mittellos und ambulant",D251&gt;8,D251&lt;=1000),105,IF(AND(L250="Mittellos und ambulant",D251&gt;4,D251&lt;=8),122,IF(AND(L250="Mittellos und ambulant",D251&gt;2,D251&lt;=4),151,IF(AND(L250="Mittellos und ambulant",D251&gt;1,D251&lt;=2),170,IF(AND(L250="Mittellos und ambulant",D251&gt;0,D251&lt;=1),208,IF(AND(L250="Mittellos und stationär",D251&gt;8,D251&lt;=1000),62,IF(AND(L250="Mittellos und stationär",D251&gt;4,D251&lt;=8),87,IF(AND(L250="Mittellos und stationär",D251&gt;2,D251&lt;=4),124,IF(AND(L250="Mittellos und stationär",D251&gt;1,D251&lt;=2),129,IF(AND(L250="Mittellos und stationär",D251&gt;0,D251&lt;=1),194,""))))))))))))))))))))),IF(M249="Stufe B",IF(AND(L250="Auswahl treffen",D251&gt;=0,D251&lt;=1000),J249,IF(AND(L250="Vermögend und ambulant",D251&gt;8,D251&lt;=1000),161,IF(AND(L250="Vermögend und ambulant",D251&gt;4,D251&lt;=8),196,IF(AND(L250="Vermögend und ambulant",D251&gt;2,D251&lt;=4),238,IF(AND(L250="Vermögend und ambulant",D251&gt;1,D251&lt;=2),258,IF(AND(L250="Vermögend und ambulant",D251&gt;0,D251&lt;=1),370,IF(AND(L250="Vermögend und stationär",D251&gt;8,D251&lt;=1000),96,IF(AND(L250="Vermögend und stationär",D251&gt;4,D251&lt;=8),113,IF(AND(L250="Vermögend und stationär",D251&gt;2,D251&lt;=4),174,IF(AND(L250="Vermögend und stationär",D251&gt;1,D251&lt;=2),196,IF(AND(L250="Vermögend und stationär",D251&gt;0,D251&lt;=1),249,IF(AND(L250="Mittellos und ambulant",D251&gt;8,D251&lt;=1000),130,IF(AND(L250="Mittellos und ambulant",D251&gt;4,D251&lt;=8),151,IF(AND(L250="Mittellos und ambulant",D251&gt;2,D251&lt;=4),188,IF(AND(L250="Mittellos und ambulant",D251&gt;1,D251&lt;=2),211,IF(AND(L250="Mittellos und ambulant",D251&gt;0,D251&lt;=1),258,IF(AND(L250="Mittellos und stationär",D251&gt;8,D251&lt;=1000),78,IF(AND(L250="Mittellos und stationär",D251&gt;4,D251&lt;=8),107,IF(AND(L250="Mittellos und stationär",D251&gt;2,D251&lt;=4),154,IF(AND(L250="Mittellos und stationär",D251&gt;1,D251&lt;=2),158,IF(AND(L250="Mittellos und stationär",D251&gt;0,D251&lt;=1),241,""))))))))))))))))))))),IF(M249="Stufe C",IF(AND(L250="Auswahl treffen",D251&gt;=0,D251&lt;=1000),J249,IF(AND(L250="Vermögend und ambulant",D251&gt;8,D251&lt;=1000),211,IF(AND(L250="Vermögend und ambulant",D251&gt;4,D251&lt;=8),257,IF(AND(L250="Vermögend und ambulant",D251&gt;2,D251&lt;=4),312,IF(AND(L250="Vermögend und ambulant",D251&gt;1,D251&lt;=2),339,IF(AND(L250="Vermögend und ambulant",D251&gt;0,D251&lt;=1),486,IF(AND(L250="Vermögend und stationär",D251&gt;8,D251&lt;=1000),127,IF(AND(L250="Vermögend und stationär",D251&gt;4,D251&lt;=8),149,IF(AND(L250="Vermögend und stationär",D251&gt;2,D251&lt;=4),229,IF(AND(L250="Vermögend und stationär",D251&gt;1,D251&lt;=2),257,IF(AND(L250="Vermögend und stationär",D251&gt;0,D251&lt;=1),327,IF(AND(L250="Mittellos und ambulant",D251&gt;8,D251&lt;=1000),171,IF(AND(L250="Mittellos und ambulant",D251&gt;4,D251&lt;=8),198,IF(AND(L250="Mittellos und ambulant",D251&gt;2,D251&lt;=4),246,IF(AND(L250="Mittellos und ambulant",D251&gt;1,D251&lt;=2),277,IF(AND(L250="Mittellos und ambulant",D251&gt;0,D251&lt;=1),339,IF(AND(L250="Mittellos und stationär",D251&gt;8,D251&lt;=1000),102,IF(AND(L250="Mittellos und stationär",D251&gt;4,D251&lt;=8),141,IF(AND(L250="Mittellos und stationär",D251&gt;2,D251&lt;=4),202,IF(AND(L250="Mittellos und stationär",D251&gt;1,D251&lt;=2),208,IF(AND(L250="Mittellos und stationär",D251&gt;0,D251&lt;=1),317,""))))))))))))))))))))),"")))*3+(J249*90)</f>
        <v>#NUM!</v>
      </c>
      <c r="M252" s="507" t="str">
        <f>CONCATENATE(K252, K251)</f>
        <v>+Inflat.-P</v>
      </c>
      <c r="N252" s="206" t="s">
        <v>118</v>
      </c>
      <c r="O252" s="207"/>
      <c r="P252" s="207"/>
      <c r="Q252" s="208"/>
      <c r="R252" s="187"/>
      <c r="S252" s="209" t="s">
        <v>118</v>
      </c>
      <c r="T252" s="201" t="s">
        <v>117</v>
      </c>
      <c r="U252" s="210" t="s">
        <v>26</v>
      </c>
      <c r="V252" s="192"/>
      <c r="W252" s="203"/>
      <c r="X252" s="203"/>
      <c r="Y252" s="210"/>
      <c r="Z252" s="192"/>
      <c r="AA252" s="203"/>
      <c r="AB252" s="203"/>
      <c r="AC252" s="210"/>
      <c r="AD252" s="192"/>
      <c r="AE252" s="203"/>
      <c r="AF252" s="203"/>
      <c r="AG252" s="210"/>
      <c r="AH252" s="193"/>
      <c r="AI252" s="203"/>
      <c r="AJ252" s="203"/>
      <c r="AK252" s="376"/>
      <c r="AL252" s="348" t="s">
        <v>148</v>
      </c>
      <c r="AM252" s="354">
        <f>IF(SUM(N250:N258)=SUM(S250:S258), 0, SUM(N250:N258)-SUM(S250:S258))</f>
        <v>0</v>
      </c>
      <c r="AN252" s="354"/>
      <c r="AO252" s="354"/>
      <c r="AP252" s="354"/>
      <c r="AQ252" s="350">
        <f>AM252+AN252+AO252+AP252</f>
        <v>0</v>
      </c>
      <c r="AR252" s="769"/>
      <c r="AS252" s="769"/>
      <c r="AT252" s="769"/>
      <c r="AW252"/>
      <c r="AX252"/>
      <c r="AY252" s="280"/>
      <c r="AZ252"/>
      <c r="BA252"/>
      <c r="BB252"/>
      <c r="BC252"/>
      <c r="BD252"/>
      <c r="BE252"/>
      <c r="BF252"/>
      <c r="BG252" s="280"/>
      <c r="BH252"/>
      <c r="BI252"/>
      <c r="BJ252"/>
      <c r="BK252"/>
      <c r="BL252"/>
      <c r="BM252"/>
      <c r="BN252"/>
      <c r="BO252"/>
    </row>
    <row r="253" spans="1:67" ht="22.25" customHeight="1">
      <c r="A253" s="181">
        <f t="shared" si="78"/>
        <v>45292</v>
      </c>
      <c r="B253" s="484" t="e">
        <f>MONTH(I250)</f>
        <v>#NUM!</v>
      </c>
      <c r="C253" s="489" t="s">
        <v>158</v>
      </c>
      <c r="D253" s="522" t="e">
        <f>D251+1</f>
        <v>#NUM!</v>
      </c>
      <c r="E253" s="211" t="e">
        <f>DATE(YEAR(E252),MONTH(E252),DAY(E252)+1)</f>
        <v>#NUM!</v>
      </c>
      <c r="F253" s="212" t="e">
        <f t="shared" si="95"/>
        <v>#NUM!</v>
      </c>
      <c r="G253" s="213" t="e">
        <f t="shared" si="96"/>
        <v>#NUM!</v>
      </c>
      <c r="H253" s="212" t="e">
        <f t="shared" si="97"/>
        <v>#NUM!</v>
      </c>
      <c r="I253" s="214" t="str">
        <f>IF(D250&lt;&gt;0,"-1T","")</f>
        <v/>
      </c>
      <c r="J253" s="215" t="e">
        <f>DATE($B255,I254,$B251)</f>
        <v>#NUM!</v>
      </c>
      <c r="K253" s="506" t="str">
        <f t="shared" si="82"/>
        <v/>
      </c>
      <c r="L253" s="470"/>
      <c r="M253" s="473" t="e">
        <f ca="1">SUM(J250-E254)&amp;" Tage"</f>
        <v>#NUM!</v>
      </c>
      <c r="N253" s="216"/>
      <c r="O253" s="217"/>
      <c r="P253" s="188"/>
      <c r="Q253" s="217"/>
      <c r="R253" s="189"/>
      <c r="S253" s="190"/>
      <c r="T253" s="190"/>
      <c r="U253" s="191"/>
      <c r="V253" s="192"/>
      <c r="W253" s="190"/>
      <c r="X253" s="190"/>
      <c r="Y253" s="191"/>
      <c r="Z253" s="192"/>
      <c r="AA253" s="190"/>
      <c r="AB253" s="190"/>
      <c r="AC253" s="191"/>
      <c r="AD253" s="192"/>
      <c r="AE253" s="190"/>
      <c r="AF253" s="190"/>
      <c r="AG253" s="191"/>
      <c r="AH253" s="193"/>
      <c r="AI253" s="190"/>
      <c r="AJ253" s="190"/>
      <c r="AK253" s="374"/>
      <c r="AL253" s="348"/>
      <c r="AM253" s="354"/>
      <c r="AN253" s="354"/>
      <c r="AO253" s="354"/>
      <c r="AP253" s="354"/>
      <c r="AQ253" s="350"/>
      <c r="AR253" s="769"/>
      <c r="AS253" s="769"/>
      <c r="AT253" s="769"/>
      <c r="AW253"/>
      <c r="AX253"/>
      <c r="AY253" s="280"/>
      <c r="AZ253"/>
      <c r="BA253"/>
      <c r="BB253"/>
      <c r="BC253"/>
      <c r="BD253"/>
      <c r="BE253"/>
      <c r="BF253"/>
      <c r="BG253" s="280"/>
      <c r="BH253"/>
      <c r="BI253"/>
      <c r="BJ253"/>
      <c r="BK253"/>
      <c r="BL253"/>
      <c r="BM253"/>
      <c r="BN253"/>
      <c r="BO253"/>
    </row>
    <row r="254" spans="1:67" ht="22.25" customHeight="1">
      <c r="A254" s="181">
        <f t="shared" si="78"/>
        <v>45292</v>
      </c>
      <c r="B254" s="485"/>
      <c r="C254" s="490"/>
      <c r="D254" s="521"/>
      <c r="E254" s="218" t="e">
        <f>DATE(YEAR(E253),MONTH(E253)+3,DAY(E253)-1)</f>
        <v>#NUM!</v>
      </c>
      <c r="F254" s="212" t="e">
        <f t="shared" si="95"/>
        <v>#NUM!</v>
      </c>
      <c r="G254" s="213" t="e">
        <f t="shared" si="96"/>
        <v>#NUM!</v>
      </c>
      <c r="H254" s="212" t="e">
        <f t="shared" si="97"/>
        <v>#NUM!</v>
      </c>
      <c r="I254" s="219">
        <f>MAX(I255:I258)</f>
        <v>9</v>
      </c>
      <c r="J254" s="220" t="e">
        <f>DATE(YEAR(J253)+1,MONTH(J253),DAY(J253))</f>
        <v>#NUM!</v>
      </c>
      <c r="K254" s="501" t="str">
        <f t="shared" si="82"/>
        <v>+Inflat.-P</v>
      </c>
      <c r="L254" s="508" t="e">
        <f>IF(M249="Stufe A",IF(AND(L250="Auswahl treffen",D253&gt;=0,D253&lt;=1000),J249,IF(AND(L250="Vermögend und ambulant",D253&gt;8,D253&lt;=1000),130,IF(AND(L250="Vermögend und ambulant",D253&gt;4,D253&lt;=8),158,IF(AND(L250="Vermögend und ambulant",D253&gt;2,D253&lt;=4),192,IF(AND(L250="Vermögend und ambulant",D253&gt;1,D253&lt;=2),208,IF(AND(L250="Vermögend und ambulant",D253&gt;0,D253&lt;=1),298,IF(AND(L250="Vermögend und stationär",D253&gt;8,D253&lt;=1000),78,IF(AND(L250="Vermögend und stationär",D253&gt;4,D253&lt;=8),91,IF(AND(L250="Vermögend und stationär",D253&gt;2,D253&lt;=4),140,IF(AND(L250="Vermögend und stationär",D253&gt;1,D253&lt;=2),158,IF(AND(L250="Vermögend und stationär",D253&gt;0,D253&lt;=1),200,IF(AND(L250="Mittellos und ambulant",D253&gt;8,D253&lt;=1000),105,IF(AND(L250="Mittellos und ambulant",D253&gt;4,D253&lt;=8),122,IF(AND(L250="Mittellos und ambulant",D253&gt;2,D253&lt;=4),151,IF(AND(L250="Mittellos und ambulant",D253&gt;1,D253&lt;=2),170,IF(AND(L250="Mittellos und ambulant",D253&gt;0,D253&lt;=1),208,IF(AND(L250="Mittellos und stationär",D253&gt;8,D253&lt;=1000),62,IF(AND(L250="Mittellos und stationär",D253&gt;4,D253&lt;=8),87,IF(AND(L250="Mittellos und stationär",D253&gt;2,D253&lt;=4),124,IF(AND(L250="Mittellos und stationär",D253&gt;1,D253&lt;=2),129,IF(AND(L250="Mittellos und stationär",D253&gt;0,D253&lt;=1),194,""))))))))))))))))))))),IF(M249="Stufe B",IF(AND(L250="Auswahl treffen",D253&gt;=0,D253&lt;=1000),J249,IF(AND(L250="Vermögend und ambulant",D253&gt;8,D253&lt;=1000),161,IF(AND(L250="Vermögend und ambulant",D253&gt;4,D253&lt;=8),196,IF(AND(L250="Vermögend und ambulant",D253&gt;2,D253&lt;=4),238,IF(AND(L250="Vermögend und ambulant",D253&gt;1,D253&lt;=2),258,IF(AND(L250="Vermögend und ambulant",D253&gt;0,D253&lt;=1),370,IF(AND(L250="Vermögend und stationär",D253&gt;8,D253&lt;=1000),96,IF(AND(L250="Vermögend und stationär",D253&gt;4,D253&lt;=8),113,IF(AND(L250="Vermögend und stationär",D253&gt;2,D253&lt;=4),174,IF(AND(L250="Vermögend und stationär",D253&gt;1,D253&lt;=2),196,IF(AND(L250="Vermögend und stationär",D253&gt;0,D253&lt;=1),249,IF(AND(L250="Mittellos und ambulant",D253&gt;8,D253&lt;=1000),130,IF(AND(L250="Mittellos und ambulant",D253&gt;4,D253&lt;=8),151,IF(AND(L250="Mittellos und ambulant",D253&gt;2,D253&lt;=4),188,IF(AND(L250="Mittellos und ambulant",D253&gt;1,D253&lt;=2),211,IF(AND(L250="Mittellos und ambulant",D253&gt;0,D253&lt;=1),258,IF(AND(L250="Mittellos und stationär",D253&gt;8,D253&lt;=1000),78,IF(AND(L250="Mittellos und stationär",D253&gt;4,D253&lt;=8),107,IF(AND(L250="Mittellos und stationär",D253&gt;2,D253&lt;=4),154,IF(AND(L250="Mittellos und stationär",D253&gt;1,D253&lt;=2),158,IF(AND(L250="Mittellos und stationär",D253&gt;0,D253&lt;=1),241,""))))))))))))))))))))),IF(M249="Stufe C",IF(AND(L250="Auswahl treffen",D253&gt;=0,D253&lt;=1000),J249,IF(AND(L250="Vermögend und ambulant",D253&gt;8,D253&lt;=1000),211,IF(AND(L250="Vermögend und ambulant",D253&gt;4,D253&lt;=8),257,IF(AND(L250="Vermögend und ambulant",D253&gt;2,D253&lt;=4),312,IF(AND(L250="Vermögend und ambulant",D253&gt;1,D253&lt;=2),339,IF(AND(L250="Vermögend und ambulant",D253&gt;0,D253&lt;=1),486,IF(AND(L250="Vermögend und stationär",D253&gt;8,D253&lt;=1000),127,IF(AND(L250="Vermögend und stationär",D253&gt;4,D253&lt;=8),149,IF(AND(L250="Vermögend und stationär",D253&gt;2,D253&lt;=4),229,IF(AND(L250="Vermögend und stationär",D253&gt;1,D253&lt;=2),257,IF(AND(L250="Vermögend und stationär",D253&gt;0,D253&lt;=1),327,IF(AND(L250="Mittellos und ambulant",D253&gt;8,D253&lt;=1000),171,IF(AND(L250="Mittellos und ambulant",D253&gt;4,D253&lt;=8),198,IF(AND(L250="Mittellos und ambulant",D253&gt;2,D253&lt;=4),246,IF(AND(L250="Mittellos und ambulant",D253&gt;1,D253&lt;=2),277,IF(AND(L250="Mittellos und ambulant",D253&gt;0,D253&lt;=1),339,IF(AND(L250="Mittellos und stationär",D253&gt;8,D253&lt;=1000),102,IF(AND(L250="Mittellos und stationär",D253&gt;4,D253&lt;=8),141,IF(AND(L250="Mittellos und stationär",D253&gt;2,D253&lt;=4),202,IF(AND(L250="Mittellos und stationär",D253&gt;1,D253&lt;=2),208,IF(AND(L250="Mittellos und stationär",D253&gt;0,D253&lt;=1),317,""))))))))))))))))))))),"")))*3+(J249*90)</f>
        <v>#NUM!</v>
      </c>
      <c r="M254" s="507" t="str">
        <f>CONCATENATE(K254, K253)</f>
        <v>+Inflat.-P</v>
      </c>
      <c r="N254" s="216"/>
      <c r="O254" s="188" t="s">
        <v>118</v>
      </c>
      <c r="P254" s="188"/>
      <c r="Q254" s="221"/>
      <c r="R254" s="199"/>
      <c r="S254" s="190"/>
      <c r="T254" s="190"/>
      <c r="U254" s="191"/>
      <c r="V254" s="192"/>
      <c r="W254" s="222" t="s">
        <v>118</v>
      </c>
      <c r="X254" s="222" t="s">
        <v>117</v>
      </c>
      <c r="Y254" s="191" t="s">
        <v>26</v>
      </c>
      <c r="Z254" s="192"/>
      <c r="AA254" s="190"/>
      <c r="AB254" s="190"/>
      <c r="AC254" s="191"/>
      <c r="AD254" s="192"/>
      <c r="AE254" s="190"/>
      <c r="AF254" s="190"/>
      <c r="AG254" s="191"/>
      <c r="AH254" s="193"/>
      <c r="AI254" s="190"/>
      <c r="AJ254" s="190"/>
      <c r="AK254" s="374"/>
      <c r="AL254" s="348" t="s">
        <v>149</v>
      </c>
      <c r="AM254" s="354"/>
      <c r="AN254" s="354">
        <f>IF(SUM(O250:O258)=SUM(W250:W258), 0, SUM(O250:O258)-SUM(W250:W258))</f>
        <v>0</v>
      </c>
      <c r="AO254" s="354"/>
      <c r="AP254" s="354"/>
      <c r="AQ254" s="350">
        <f>AM254+AN254+AO254+AP254</f>
        <v>0</v>
      </c>
      <c r="AR254" s="769"/>
      <c r="AS254" s="769"/>
      <c r="AT254" s="769"/>
      <c r="AW254"/>
      <c r="AX254"/>
      <c r="AY254" s="280"/>
      <c r="AZ254"/>
      <c r="BA254"/>
      <c r="BB254"/>
      <c r="BC254"/>
      <c r="BD254"/>
      <c r="BE254"/>
      <c r="BF254"/>
      <c r="BG254" s="280"/>
      <c r="BH254"/>
      <c r="BI254"/>
      <c r="BJ254"/>
      <c r="BK254"/>
      <c r="BL254"/>
      <c r="BM254"/>
      <c r="BN254"/>
      <c r="BO254"/>
    </row>
    <row r="255" spans="1:67" ht="22.25" customHeight="1">
      <c r="A255" s="181">
        <f t="shared" si="78"/>
        <v>45292</v>
      </c>
      <c r="B255" s="484">
        <f>YEAR($A256)-1</f>
        <v>2023</v>
      </c>
      <c r="C255" s="489" t="s">
        <v>158</v>
      </c>
      <c r="D255" s="520" t="e">
        <f>D253+1</f>
        <v>#NUM!</v>
      </c>
      <c r="E255" s="194" t="e">
        <f>DATE(YEAR(E254),MONTH(E254),DAY(E254)+1)</f>
        <v>#NUM!</v>
      </c>
      <c r="F255" s="195" t="e">
        <f t="shared" si="95"/>
        <v>#NUM!</v>
      </c>
      <c r="G255" s="196" t="e">
        <f t="shared" si="96"/>
        <v>#NUM!</v>
      </c>
      <c r="H255" s="195" t="e">
        <f t="shared" si="97"/>
        <v>#NUM!</v>
      </c>
      <c r="I255" s="197">
        <f>IF(J257&lt;13,J257,"")</f>
        <v>9</v>
      </c>
      <c r="J255" s="224">
        <f>G250</f>
        <v>0</v>
      </c>
      <c r="K255" s="506" t="str">
        <f t="shared" si="82"/>
        <v/>
      </c>
      <c r="L255" s="471"/>
      <c r="M255" s="473" t="e">
        <f ca="1">SUM(J250-E256)&amp;" Tage"</f>
        <v>#NUM!</v>
      </c>
      <c r="N255" s="200"/>
      <c r="O255" s="201"/>
      <c r="P255" s="201"/>
      <c r="Q255" s="202"/>
      <c r="R255" s="189"/>
      <c r="S255" s="203"/>
      <c r="T255" s="203"/>
      <c r="U255" s="204"/>
      <c r="V255" s="192"/>
      <c r="W255" s="203"/>
      <c r="X255" s="203"/>
      <c r="Y255" s="204"/>
      <c r="Z255" s="192"/>
      <c r="AA255" s="203"/>
      <c r="AB255" s="203"/>
      <c r="AC255" s="204"/>
      <c r="AD255" s="192"/>
      <c r="AE255" s="203"/>
      <c r="AF255" s="203"/>
      <c r="AG255" s="204"/>
      <c r="AH255" s="193"/>
      <c r="AI255" s="203"/>
      <c r="AJ255" s="203"/>
      <c r="AK255" s="375"/>
      <c r="AL255" s="348"/>
      <c r="AM255" s="354"/>
      <c r="AN255" s="354"/>
      <c r="AO255" s="354"/>
      <c r="AP255" s="354"/>
      <c r="AQ255" s="350"/>
      <c r="AR255" s="769"/>
      <c r="AS255" s="769"/>
      <c r="AT255" s="769"/>
      <c r="AW255"/>
      <c r="AX255"/>
      <c r="AY255" s="280"/>
      <c r="AZ255"/>
      <c r="BA255"/>
      <c r="BB255"/>
      <c r="BC255"/>
      <c r="BD255"/>
      <c r="BE255"/>
      <c r="BF255"/>
      <c r="BG255" s="280"/>
      <c r="BH255"/>
      <c r="BI255"/>
      <c r="BJ255"/>
      <c r="BK255"/>
      <c r="BL255"/>
      <c r="BM255"/>
      <c r="BN255"/>
      <c r="BO255"/>
    </row>
    <row r="256" spans="1:67" ht="22.25" customHeight="1">
      <c r="A256" s="181">
        <f t="shared" si="78"/>
        <v>45292</v>
      </c>
      <c r="B256" s="485"/>
      <c r="C256" s="490"/>
      <c r="D256" s="521"/>
      <c r="E256" s="194" t="e">
        <f>DATE(YEAR(E255),MONTH(E255)+3,DAY(E255)-1)</f>
        <v>#NUM!</v>
      </c>
      <c r="F256" s="195" t="e">
        <f t="shared" si="95"/>
        <v>#NUM!</v>
      </c>
      <c r="G256" s="196" t="e">
        <f t="shared" si="96"/>
        <v>#NUM!</v>
      </c>
      <c r="H256" s="195" t="e">
        <f t="shared" si="97"/>
        <v>#NUM!</v>
      </c>
      <c r="I256" s="244">
        <f>IF(J258&lt;13,J258,"")</f>
        <v>6</v>
      </c>
      <c r="J256" s="224">
        <f>J255+3</f>
        <v>3</v>
      </c>
      <c r="K256" s="501" t="str">
        <f t="shared" si="82"/>
        <v>+Inflat.-P</v>
      </c>
      <c r="L256" s="511" t="e">
        <f>IF(M249="Stufe A",IF(AND(L250="Auswahl treffen",D255&gt;=0,D255&lt;=1000),J249,IF(AND(L250="Vermögend und ambulant",D255&gt;8,D255&lt;=1000),130,IF(AND(L250="Vermögend und ambulant",D255&gt;4,D255&lt;=8),158,IF(AND(L250="Vermögend und ambulant",D255&gt;2,D255&lt;=4),192,IF(AND(L250="Vermögend und ambulant",D255&gt;1,D255&lt;=2),208,IF(AND(L250="Vermögend und ambulant",D255&gt;0,D255&lt;=1),298,IF(AND(L250="Vermögend und stationär",D255&gt;8,D255&lt;=1000),78,IF(AND(L250="Vermögend und stationär",D255&gt;4,D255&lt;=8),91,IF(AND(L250="Vermögend und stationär",D255&gt;2,D255&lt;=4),140,IF(AND(L250="Vermögend und stationär",D255&gt;1,D255&lt;=2),158,IF(AND(L250="Vermögend und stationär",D255&gt;0,D255&lt;=1),200,IF(AND(L250="Mittellos und ambulant",D255&gt;8,D255&lt;=1000),105,IF(AND(L250="Mittellos und ambulant",D255&gt;4,D255&lt;=8),122,IF(AND(L250="Mittellos und ambulant",D255&gt;2,D255&lt;=4),151,IF(AND(L250="Mittellos und ambulant",D255&gt;1,D255&lt;=2),170,IF(AND(L250="Mittellos und ambulant",D255&gt;0,D255&lt;=1),208,IF(AND(L250="Mittellos und stationär",D255&gt;8,D255&lt;=1000),62,IF(AND(L250="Mittellos und stationär",D255&gt;4,D255&lt;=8),87,IF(AND(L250="Mittellos und stationär",D255&gt;2,D255&lt;=4),124,IF(AND(L250="Mittellos und stationär",D255&gt;1,D255&lt;=2),129,IF(AND(L250="Mittellos und stationär",D255&gt;0,D255&lt;=1),194,""))))))))))))))))))))),IF(M249="Stufe B",IF(AND(L250="Auswahl treffen",D255&gt;=0,D255&lt;=1000),J249,IF(AND(L250="Vermögend und ambulant",D255&gt;8,D255&lt;=1000),161,IF(AND(L250="Vermögend und ambulant",D255&gt;4,D255&lt;=8),196,IF(AND(L250="Vermögend und ambulant",D255&gt;2,D255&lt;=4),238,IF(AND(L250="Vermögend und ambulant",D255&gt;1,D255&lt;=2),258,IF(AND(L250="Vermögend und ambulant",D255&gt;0,D255&lt;=1),370,IF(AND(L250="Vermögend und stationär",D255&gt;8,D255&lt;=1000),96,IF(AND(L250="Vermögend und stationär",D255&gt;4,D255&lt;=8),113,IF(AND(L250="Vermögend und stationär",D255&gt;2,D255&lt;=4),174,IF(AND(L250="Vermögend und stationär",D255&gt;1,D255&lt;=2),196,IF(AND(L250="Vermögend und stationär",D255&gt;0,D255&lt;=1),249,IF(AND(L250="Mittellos und ambulant",D255&gt;8,D255&lt;=1000),130,IF(AND(L250="Mittellos und ambulant",D255&gt;4,D255&lt;=8),151,IF(AND(L250="Mittellos und ambulant",D255&gt;2,D255&lt;=4),188,IF(AND(L250="Mittellos und ambulant",D255&gt;1,D255&lt;=2),211,IF(AND(L250="Mittellos und ambulant",D255&gt;0,D255&lt;=1),258,IF(AND(L250="Mittellos und stationär",D255&gt;8,D255&lt;=1000),78,IF(AND(L250="Mittellos und stationär",D255&gt;4,D255&lt;=8),107,IF(AND(L250="Mittellos und stationär",D255&gt;2,D255&lt;=4),154,IF(AND(L250="Mittellos und stationär",D255&gt;1,D255&lt;=2),158,IF(AND(L250="Mittellos und stationär",D255&gt;0,D255&lt;=1),241,""))))))))))))))))))))),IF(M249="Stufe C",IF(AND(L250="Auswahl treffen",D255&gt;=0,D255&lt;=1000),J249,IF(AND(L250="Vermögend und ambulant",D255&gt;8,D255&lt;=1000),211,IF(AND(L250="Vermögend und ambulant",D255&gt;4,D255&lt;=8),257,IF(AND(L250="Vermögend und ambulant",D255&gt;2,D255&lt;=4),312,IF(AND(L250="Vermögend und ambulant",D255&gt;1,D255&lt;=2),339,IF(AND(L250="Vermögend und ambulant",D255&gt;0,D255&lt;=1),486,IF(AND(L250="Vermögend und stationär",D255&gt;8,D255&lt;=1000),127,IF(AND(L250="Vermögend und stationär",D255&gt;4,D255&lt;=8),149,IF(AND(L250="Vermögend und stationär",D255&gt;2,D255&lt;=4),229,IF(AND(L250="Vermögend und stationär",D255&gt;1,D255&lt;=2),257,IF(AND(L250="Vermögend und stationär",D255&gt;0,D255&lt;=1),327,IF(AND(L250="Mittellos und ambulant",D255&gt;8,D255&lt;=1000),171,IF(AND(L250="Mittellos und ambulant",D255&gt;4,D255&lt;=8),198,IF(AND(L250="Mittellos und ambulant",D255&gt;2,D255&lt;=4),246,IF(AND(L250="Mittellos und ambulant",D255&gt;1,D255&lt;=2),277,IF(AND(L250="Mittellos und ambulant",D255&gt;0,D255&lt;=1),339,IF(AND(L250="Mittellos und stationär",D255&gt;8,D255&lt;=1000),102,IF(AND(L250="Mittellos und stationär",D255&gt;4,D255&lt;=8),141,IF(AND(L250="Mittellos und stationär",D255&gt;2,D255&lt;=4),202,IF(AND(L250="Mittellos und stationär",D255&gt;1,D255&lt;=2),208,IF(AND(L250="Mittellos und stationär",D255&gt;0,D255&lt;=1),317,""))))))))))))))))))))),"")))*3+(J249*90)</f>
        <v>#NUM!</v>
      </c>
      <c r="M256" s="507" t="str">
        <f>CONCATENATE(K256, K255)</f>
        <v>+Inflat.-P</v>
      </c>
      <c r="N256" s="206"/>
      <c r="O256" s="207"/>
      <c r="P256" s="206" t="s">
        <v>118</v>
      </c>
      <c r="Q256" s="226"/>
      <c r="R256" s="189"/>
      <c r="S256" s="203"/>
      <c r="T256" s="203"/>
      <c r="U256" s="204"/>
      <c r="V256" s="192"/>
      <c r="W256" s="203"/>
      <c r="X256" s="203"/>
      <c r="Y256" s="204"/>
      <c r="Z256" s="192"/>
      <c r="AA256" s="209" t="s">
        <v>118</v>
      </c>
      <c r="AB256" s="209" t="s">
        <v>117</v>
      </c>
      <c r="AC256" s="204" t="s">
        <v>26</v>
      </c>
      <c r="AD256" s="192"/>
      <c r="AE256" s="203"/>
      <c r="AF256" s="203"/>
      <c r="AG256" s="204"/>
      <c r="AH256" s="193"/>
      <c r="AI256" s="203"/>
      <c r="AJ256" s="203"/>
      <c r="AK256" s="375"/>
      <c r="AL256" s="348" t="s">
        <v>150</v>
      </c>
      <c r="AM256" s="354"/>
      <c r="AN256" s="354"/>
      <c r="AO256" s="354">
        <f>IF(SUM(P250:P258)=SUM(AA250:AA258), 0, SUM(P250:P258)-SUM(AA250:AA258))</f>
        <v>0</v>
      </c>
      <c r="AP256" s="354"/>
      <c r="AQ256" s="350">
        <f>AM256+AN256+AO256+AP256</f>
        <v>0</v>
      </c>
      <c r="AR256" s="769"/>
      <c r="AS256" s="769"/>
      <c r="AT256" s="769"/>
      <c r="AW256"/>
      <c r="AX256"/>
      <c r="AY256" s="280"/>
      <c r="AZ256"/>
      <c r="BA256"/>
      <c r="BB256"/>
      <c r="BC256"/>
      <c r="BD256"/>
      <c r="BE256"/>
      <c r="BF256"/>
      <c r="BG256" s="280"/>
      <c r="BH256"/>
      <c r="BI256"/>
      <c r="BJ256"/>
      <c r="BK256"/>
      <c r="BL256"/>
      <c r="BM256"/>
      <c r="BN256"/>
      <c r="BO256"/>
    </row>
    <row r="257" spans="1:67" ht="22.25" customHeight="1">
      <c r="A257" s="181">
        <f t="shared" si="78"/>
        <v>45292</v>
      </c>
      <c r="B257" s="486"/>
      <c r="C257" s="489" t="s">
        <v>158</v>
      </c>
      <c r="D257" s="522" t="e">
        <f>D255+1</f>
        <v>#NUM!</v>
      </c>
      <c r="E257" s="211" t="e">
        <f>DATE(YEAR(E256),MONTH(E256),DAY(E256)+1)</f>
        <v>#NUM!</v>
      </c>
      <c r="F257" s="227" t="e">
        <f t="shared" si="95"/>
        <v>#NUM!</v>
      </c>
      <c r="G257" s="228" t="e">
        <f t="shared" si="96"/>
        <v>#NUM!</v>
      </c>
      <c r="H257" s="227" t="e">
        <f t="shared" si="97"/>
        <v>#NUM!</v>
      </c>
      <c r="I257" s="231">
        <f>IF(J256&lt;13,J256,"")</f>
        <v>3</v>
      </c>
      <c r="J257" s="230">
        <f>J258+3</f>
        <v>9</v>
      </c>
      <c r="K257" s="501" t="str">
        <f t="shared" si="82"/>
        <v/>
      </c>
      <c r="L257" s="471"/>
      <c r="M257" s="473" t="e">
        <f ca="1">SUM(J250-E258)&amp;" Tage"</f>
        <v>#NUM!</v>
      </c>
      <c r="N257" s="216"/>
      <c r="O257" s="188"/>
      <c r="P257" s="188"/>
      <c r="Q257" s="217"/>
      <c r="R257" s="189"/>
      <c r="S257" s="190"/>
      <c r="T257" s="190"/>
      <c r="U257" s="191"/>
      <c r="V257" s="192"/>
      <c r="W257" s="190"/>
      <c r="X257" s="190"/>
      <c r="Y257" s="191"/>
      <c r="Z257" s="192"/>
      <c r="AA257" s="190"/>
      <c r="AB257" s="190"/>
      <c r="AC257" s="191"/>
      <c r="AD257" s="192"/>
      <c r="AE257" s="190"/>
      <c r="AF257" s="190"/>
      <c r="AG257" s="191"/>
      <c r="AH257" s="193"/>
      <c r="AI257" s="190"/>
      <c r="AJ257" s="190"/>
      <c r="AK257" s="374"/>
      <c r="AL257" s="348"/>
      <c r="AM257" s="354"/>
      <c r="AN257" s="354"/>
      <c r="AO257" s="354"/>
      <c r="AP257" s="354"/>
      <c r="AQ257" s="350"/>
      <c r="AR257" s="769"/>
      <c r="AS257" s="769"/>
      <c r="AT257" s="769"/>
      <c r="AW257"/>
      <c r="AX257"/>
      <c r="AY257" s="280"/>
      <c r="AZ257"/>
      <c r="BA257"/>
      <c r="BB257"/>
      <c r="BC257"/>
      <c r="BD257"/>
      <c r="BE257"/>
      <c r="BF257"/>
      <c r="BG257" s="280"/>
      <c r="BH257"/>
      <c r="BI257"/>
      <c r="BJ257"/>
      <c r="BK257"/>
      <c r="BL257"/>
      <c r="BM257"/>
      <c r="BN257"/>
      <c r="BO257"/>
    </row>
    <row r="258" spans="1:67" ht="22.25" customHeight="1">
      <c r="A258" s="181">
        <f t="shared" si="78"/>
        <v>45292</v>
      </c>
      <c r="B258" s="485"/>
      <c r="C258" s="490"/>
      <c r="D258" s="521"/>
      <c r="E258" s="218" t="e">
        <f>DATE(YEAR(E257),MONTH(E257)+3,DAY(E257)-1)</f>
        <v>#NUM!</v>
      </c>
      <c r="F258" s="227" t="e">
        <f t="shared" si="95"/>
        <v>#NUM!</v>
      </c>
      <c r="G258" s="228" t="e">
        <f t="shared" si="96"/>
        <v>#NUM!</v>
      </c>
      <c r="H258" s="227" t="e">
        <f t="shared" si="97"/>
        <v>#NUM!</v>
      </c>
      <c r="I258" s="231">
        <f>IF(J255&lt;13,J255,"")</f>
        <v>0</v>
      </c>
      <c r="J258" s="230">
        <f>J256+3</f>
        <v>6</v>
      </c>
      <c r="K258" s="506" t="str">
        <f t="shared" si="82"/>
        <v>+Inflat.-P</v>
      </c>
      <c r="L258" s="508" t="e">
        <f>IF(M249="Stufe A",IF(AND(L250="Auswahl treffen",D257&gt;=0,D257&lt;=1000),J249,IF(AND(L250="Vermögend und ambulant",D257&gt;8,D257&lt;=1000),130,IF(AND(L250="Vermögend und ambulant",D257&gt;4,D257&lt;=8),158,IF(AND(L250="Vermögend und ambulant",D257&gt;2,D257&lt;=4),192,IF(AND(L250="Vermögend und ambulant",D257&gt;1,D257&lt;=2),208,IF(AND(L250="Vermögend und ambulant",D257&gt;0,D257&lt;=1),298,IF(AND(L250="Vermögend und stationär",D257&gt;8,D257&lt;=1000),78,IF(AND(L250="Vermögend und stationär",D257&gt;4,D257&lt;=8),91,IF(AND(L250="Vermögend und stationär",D257&gt;2,D257&lt;=4),140,IF(AND(L250="Vermögend und stationär",D257&gt;1,D257&lt;=2),158,IF(AND(L250="Vermögend und stationär",D257&gt;0,D257&lt;=1),200,IF(AND(L250="Mittellos und ambulant",D257&gt;8,D257&lt;=1000),105,IF(AND(L250="Mittellos und ambulant",D257&gt;4,D257&lt;=8),122,IF(AND(L250="Mittellos und ambulant",D257&gt;2,D257&lt;=4),151,IF(AND(L250="Mittellos und ambulant",D257&gt;1,D257&lt;=2),170,IF(AND(L250="Mittellos und ambulant",D257&gt;0,D257&lt;=1),208,IF(AND(L250="Mittellos und stationär",D257&gt;8,D257&lt;=1000),62,IF(AND(L250="Mittellos und stationär",D257&gt;4,D257&lt;=8),87,IF(AND(L250="Mittellos und stationär",D257&gt;2,D257&lt;=4),124,IF(AND(L250="Mittellos und stationär",D257&gt;1,D257&lt;=2),129,IF(AND(L250="Mittellos und stationär",D257&gt;0,D257&lt;=1),194,""))))))))))))))))))))),IF(M249="Stufe B",IF(AND(L250="Auswahl treffen",D257&gt;=0,D257&lt;=1000),J249,IF(AND(L250="Vermögend und ambulant",D257&gt;8,D257&lt;=1000),161,IF(AND(L250="Vermögend und ambulant",D257&gt;4,D257&lt;=8),196,IF(AND(L250="Vermögend und ambulant",D257&gt;2,D257&lt;=4),238,IF(AND(L250="Vermögend und ambulant",D257&gt;1,D257&lt;=2),258,IF(AND(L250="Vermögend und ambulant",D257&gt;0,D257&lt;=1),370,IF(AND(L250="Vermögend und stationär",D257&gt;8,D257&lt;=1000),96,IF(AND(L250="Vermögend und stationär",D257&gt;4,D257&lt;=8),113,IF(AND(L250="Vermögend und stationär",D257&gt;2,D257&lt;=4),174,IF(AND(L250="Vermögend und stationär",D257&gt;1,D257&lt;=2),196,IF(AND(L250="Vermögend und stationär",D257&gt;0,D257&lt;=1),249,IF(AND(L250="Mittellos und ambulant",D257&gt;8,D257&lt;=1000),130,IF(AND(L250="Mittellos und ambulant",D257&gt;4,D257&lt;=8),151,IF(AND(L250="Mittellos und ambulant",D257&gt;2,D257&lt;=4),188,IF(AND(L250="Mittellos und ambulant",D257&gt;1,D257&lt;=2),211,IF(AND(L250="Mittellos und ambulant",D257&gt;0,D257&lt;=1),258,IF(AND(L250="Mittellos und stationär",D257&gt;8,D257&lt;=1000),78,IF(AND(L250="Mittellos und stationär",D257&gt;4,D257&lt;=8),107,IF(AND(L250="Mittellos und stationär",D257&gt;2,D257&lt;=4),154,IF(AND(L250="Mittellos und stationär",D257&gt;1,D257&lt;=2),158,IF(AND(L250="Mittellos und stationär",D257&gt;0,D257&lt;=1),241,""))))))))))))))))))))),IF(M249="Stufe C",IF(AND(L250="Auswahl treffen",D257&gt;=0,D257&lt;=1000),J249,IF(AND(L250="Vermögend und ambulant",D257&gt;8,D257&lt;=1000),211,IF(AND(L250="Vermögend und ambulant",D257&gt;4,D257&lt;=8),257,IF(AND(L250="Vermögend und ambulant",D257&gt;2,D257&lt;=4),312,IF(AND(L250="Vermögend und ambulant",D257&gt;1,D257&lt;=2),339,IF(AND(L250="Vermögend und ambulant",D257&gt;0,D257&lt;=1),486,IF(AND(L250="Vermögend und stationär",D257&gt;8,D257&lt;=1000),127,IF(AND(L250="Vermögend und stationär",D257&gt;4,D257&lt;=8),149,IF(AND(L250="Vermögend und stationär",D257&gt;2,D257&lt;=4),229,IF(AND(L250="Vermögend und stationär",D257&gt;1,D257&lt;=2),257,IF(AND(L250="Vermögend und stationär",D257&gt;0,D257&lt;=1),327,IF(AND(L250="Mittellos und ambulant",D257&gt;8,D257&lt;=1000),171,IF(AND(L250="Mittellos und ambulant",D257&gt;4,D257&lt;=8),198,IF(AND(L250="Mittellos und ambulant",D257&gt;2,D257&lt;=4),246,IF(AND(L250="Mittellos und ambulant",D257&gt;1,D257&lt;=2),277,IF(AND(L250="Mittellos und ambulant",D257&gt;0,D257&lt;=1),339,IF(AND(L250="Mittellos und stationär",D257&gt;8,D257&lt;=1000),102,IF(AND(L250="Mittellos und stationär",D257&gt;4,D257&lt;=8),141,IF(AND(L250="Mittellos und stationär",D257&gt;2,D257&lt;=4),202,IF(AND(L250="Mittellos und stationär",D257&gt;1,D257&lt;=2),208,IF(AND(L250="Mittellos und stationär",D257&gt;0,D257&lt;=1),317,""))))))))))))))))))))),"")))*3+(J249*90)</f>
        <v>#NUM!</v>
      </c>
      <c r="M258" s="507" t="str">
        <f>CONCATENATE(K258, K257)</f>
        <v>+Inflat.-P</v>
      </c>
      <c r="N258" s="216"/>
      <c r="O258" s="188"/>
      <c r="P258" s="188"/>
      <c r="Q258" s="217" t="s">
        <v>118</v>
      </c>
      <c r="R258" s="189"/>
      <c r="S258" s="190"/>
      <c r="T258" s="190"/>
      <c r="U258" s="191"/>
      <c r="V258" s="192"/>
      <c r="W258" s="190"/>
      <c r="X258" s="190"/>
      <c r="Y258" s="191"/>
      <c r="Z258" s="192"/>
      <c r="AA258" s="190"/>
      <c r="AB258" s="190"/>
      <c r="AC258" s="191"/>
      <c r="AD258" s="192"/>
      <c r="AE258" s="190" t="s">
        <v>118</v>
      </c>
      <c r="AF258" s="190" t="s">
        <v>117</v>
      </c>
      <c r="AG258" s="191" t="s">
        <v>26</v>
      </c>
      <c r="AH258" s="193"/>
      <c r="AI258" s="190" t="s">
        <v>118</v>
      </c>
      <c r="AJ258" s="190" t="s">
        <v>117</v>
      </c>
      <c r="AK258" s="374" t="s">
        <v>26</v>
      </c>
      <c r="AL258" s="348" t="s">
        <v>151</v>
      </c>
      <c r="AM258" s="354"/>
      <c r="AN258" s="354"/>
      <c r="AO258" s="354"/>
      <c r="AP258" s="354">
        <f>IF(SUM(Q250:Q258)=SUM(AE250:AE258,AI250:AI258), 0, SUM(Q250:Q258)-SUM(AE250:AE258,AI250:AI258))</f>
        <v>0</v>
      </c>
      <c r="AQ258" s="350">
        <f>AM258+AN258+AO258+AP258</f>
        <v>0</v>
      </c>
      <c r="AR258" s="769"/>
      <c r="AS258" s="769"/>
      <c r="AT258" s="769"/>
      <c r="AW258"/>
      <c r="AX258"/>
      <c r="AY258" s="280"/>
      <c r="AZ258"/>
      <c r="BA258"/>
      <c r="BB258"/>
      <c r="BC258"/>
      <c r="BD258"/>
      <c r="BE258"/>
      <c r="BF258"/>
      <c r="BG258" s="280"/>
      <c r="BH258"/>
      <c r="BI258"/>
      <c r="BJ258"/>
      <c r="BK258"/>
      <c r="BL258"/>
      <c r="BM258"/>
      <c r="BN258"/>
      <c r="BO258"/>
    </row>
    <row r="259" spans="1:67" ht="22" customHeight="1">
      <c r="A259" s="181">
        <f t="shared" si="78"/>
        <v>45292</v>
      </c>
      <c r="B259" s="232" t="s">
        <v>74</v>
      </c>
      <c r="C259" s="233" t="s">
        <v>75</v>
      </c>
      <c r="D259" s="234" t="s">
        <v>76</v>
      </c>
      <c r="E259" s="235" t="s">
        <v>11</v>
      </c>
      <c r="F259" s="235" t="s">
        <v>4</v>
      </c>
      <c r="G259" s="235" t="s">
        <v>5</v>
      </c>
      <c r="H259" s="235" t="s">
        <v>6</v>
      </c>
      <c r="I259" s="236" t="s">
        <v>77</v>
      </c>
      <c r="J259" s="306"/>
      <c r="K259" s="501" t="str">
        <f t="shared" si="82"/>
        <v/>
      </c>
      <c r="L259" s="306" t="str">
        <f>IFERROR(VLOOKUP(B260,'Aktuelle Einnahmen'!A2:J104,10,0),"")</f>
        <v/>
      </c>
      <c r="M259" s="510" t="str">
        <f>M249</f>
        <v>Stufe C</v>
      </c>
      <c r="N259" s="237"/>
      <c r="O259" s="238"/>
      <c r="P259" s="238"/>
      <c r="Q259" s="239"/>
      <c r="R259" s="240"/>
      <c r="S259" s="241"/>
      <c r="T259" s="241"/>
      <c r="U259" s="242"/>
      <c r="V259" s="243"/>
      <c r="W259" s="241"/>
      <c r="X259" s="241"/>
      <c r="Y259" s="242"/>
      <c r="Z259" s="243"/>
      <c r="AA259" s="241"/>
      <c r="AB259" s="241"/>
      <c r="AC259" s="242"/>
      <c r="AD259" s="243"/>
      <c r="AE259" s="241"/>
      <c r="AF259" s="241"/>
      <c r="AG259" s="242"/>
      <c r="AH259" s="240"/>
      <c r="AI259" s="241"/>
      <c r="AJ259" s="241"/>
      <c r="AK259" s="377"/>
      <c r="AL259" s="347"/>
      <c r="AM259" s="353"/>
      <c r="AN259" s="353"/>
      <c r="AO259" s="353"/>
      <c r="AP259" s="353"/>
      <c r="AQ259" s="349"/>
      <c r="AR259" s="768"/>
      <c r="AS259" s="768"/>
      <c r="AT259" s="768"/>
      <c r="AW259"/>
      <c r="AX259"/>
      <c r="AY259" s="280"/>
      <c r="AZ259"/>
      <c r="BA259"/>
      <c r="BB259"/>
      <c r="BC259"/>
      <c r="BD259"/>
      <c r="BE259"/>
      <c r="BF259"/>
      <c r="BG259" s="280"/>
      <c r="BH259"/>
      <c r="BI259"/>
      <c r="BJ259"/>
      <c r="BK259"/>
      <c r="BL259"/>
      <c r="BM259"/>
      <c r="BN259"/>
      <c r="BO259"/>
    </row>
    <row r="260" spans="1:67" ht="23" customHeight="1">
      <c r="A260" s="181">
        <f t="shared" si="78"/>
        <v>45292</v>
      </c>
      <c r="B260" s="182">
        <v>26</v>
      </c>
      <c r="C260" s="245">
        <f>IFERROR(VLOOKUP($B260,'Aktuelle Einnahmen'!A2:G104,3,0),"")</f>
        <v>0</v>
      </c>
      <c r="D260" s="246">
        <f>IFERROR(VLOOKUP($B260,'Aktuelle Einnahmen'!A2:G104,2,0),"")</f>
        <v>0</v>
      </c>
      <c r="E260" s="247">
        <f>IFERROR(VLOOKUP($B260,'Aktuelle Einnahmen'!A2:G104,4,0),"")</f>
        <v>0</v>
      </c>
      <c r="F260" s="94">
        <f>IFERROR(VLOOKUP($B260,'Aktuelle Einnahmen'!A2:G104,5,0),"")</f>
        <v>0</v>
      </c>
      <c r="G260" s="94">
        <f>IFERROR(VLOOKUP($B260,'Aktuelle Einnahmen'!A2:G104,6,0),"")</f>
        <v>0</v>
      </c>
      <c r="H260" s="94">
        <f>IFERROR(VLOOKUP($B260,'Aktuelle Einnahmen'!A2:G104,7,0),"")</f>
        <v>0</v>
      </c>
      <c r="I260" s="186" t="e">
        <f>DATE(H260,G260,F260)</f>
        <v>#NUM!</v>
      </c>
      <c r="J260" s="472">
        <f ca="1">J250</f>
        <v>45475</v>
      </c>
      <c r="K260" s="506" t="str">
        <f t="shared" si="82"/>
        <v>+Inflat.-P</v>
      </c>
      <c r="L260" s="1262" t="str">
        <f>IFERROR(VLOOKUP(B260,'Aktuelle Einnahmen'!A12:I114,9,0),"")</f>
        <v>Auswahl treffen</v>
      </c>
      <c r="M260" s="1263"/>
      <c r="N260" s="261"/>
      <c r="O260" s="261"/>
      <c r="P260" s="261"/>
      <c r="Q260" s="261"/>
      <c r="R260" s="189"/>
      <c r="S260" s="190"/>
      <c r="T260" s="190"/>
      <c r="U260" s="191"/>
      <c r="V260" s="192"/>
      <c r="W260" s="190"/>
      <c r="X260" s="190"/>
      <c r="Y260" s="191"/>
      <c r="Z260" s="192"/>
      <c r="AA260" s="190"/>
      <c r="AB260" s="190"/>
      <c r="AC260" s="191"/>
      <c r="AD260" s="192"/>
      <c r="AE260" s="190"/>
      <c r="AF260" s="190"/>
      <c r="AG260" s="191"/>
      <c r="AH260" s="193"/>
      <c r="AI260" s="190"/>
      <c r="AJ260" s="190"/>
      <c r="AK260" s="374"/>
      <c r="AL260" s="348"/>
      <c r="AM260" s="354"/>
      <c r="AN260" s="354"/>
      <c r="AO260" s="354"/>
      <c r="AP260" s="354"/>
      <c r="AQ260" s="350"/>
      <c r="AR260" s="769"/>
      <c r="AS260" s="769"/>
      <c r="AT260" s="769"/>
      <c r="AW260"/>
      <c r="AX260"/>
      <c r="AY260" s="280"/>
      <c r="AZ260"/>
      <c r="BA260"/>
      <c r="BB260"/>
      <c r="BC260"/>
      <c r="BD260"/>
      <c r="BE260"/>
      <c r="BF260"/>
      <c r="BG260" s="280"/>
      <c r="BH260"/>
      <c r="BI260"/>
      <c r="BJ260"/>
      <c r="BK260"/>
      <c r="BL260"/>
      <c r="BM260"/>
      <c r="BN260"/>
      <c r="BO260"/>
    </row>
    <row r="261" spans="1:67" ht="22.25" customHeight="1">
      <c r="A261" s="181">
        <f t="shared" si="78"/>
        <v>45292</v>
      </c>
      <c r="B261" s="484" t="e">
        <f>DAY(I260)</f>
        <v>#NUM!</v>
      </c>
      <c r="C261" s="489" t="s">
        <v>158</v>
      </c>
      <c r="D261" s="520" t="e">
        <f>(I261*4)+J261/3+1</f>
        <v>#NUM!</v>
      </c>
      <c r="E261" s="194" t="e">
        <f>J263+1</f>
        <v>#NUM!</v>
      </c>
      <c r="F261" s="195" t="e">
        <f t="shared" ref="F261:F268" si="98">DAY(E261)</f>
        <v>#NUM!</v>
      </c>
      <c r="G261" s="196" t="e">
        <f t="shared" ref="G261:G268" si="99">MONTH(E261)</f>
        <v>#NUM!</v>
      </c>
      <c r="H261" s="195" t="e">
        <f t="shared" ref="H261:H268" si="100">YEAR(E261)</f>
        <v>#NUM!</v>
      </c>
      <c r="I261" s="197" t="e">
        <f>H261-(H260+2000)</f>
        <v>#NUM!</v>
      </c>
      <c r="J261" s="198" t="e">
        <f>G261-G260</f>
        <v>#NUM!</v>
      </c>
      <c r="K261" s="506" t="str">
        <f>L259</f>
        <v/>
      </c>
      <c r="L261" s="469"/>
      <c r="M261" s="473" t="e">
        <f ca="1">SUM(J260-E262)&amp;" Tage"</f>
        <v>#NUM!</v>
      </c>
      <c r="N261" s="206"/>
      <c r="O261" s="201"/>
      <c r="P261" s="201"/>
      <c r="Q261" s="202"/>
      <c r="R261" s="189"/>
      <c r="S261" s="203"/>
      <c r="T261" s="203"/>
      <c r="U261" s="204"/>
      <c r="V261" s="192"/>
      <c r="W261" s="203"/>
      <c r="X261" s="203"/>
      <c r="Y261" s="204"/>
      <c r="Z261" s="192"/>
      <c r="AA261" s="203"/>
      <c r="AB261" s="203"/>
      <c r="AC261" s="204"/>
      <c r="AD261" s="192"/>
      <c r="AE261" s="203"/>
      <c r="AF261" s="203"/>
      <c r="AG261" s="204"/>
      <c r="AH261" s="193"/>
      <c r="AI261" s="203"/>
      <c r="AJ261" s="203"/>
      <c r="AK261" s="375"/>
      <c r="AL261" s="348"/>
      <c r="AM261" s="354"/>
      <c r="AN261" s="354"/>
      <c r="AO261" s="354"/>
      <c r="AP261" s="354"/>
      <c r="AQ261" s="350"/>
      <c r="AR261" s="769"/>
      <c r="AS261" s="769"/>
      <c r="AT261" s="769"/>
      <c r="AW261"/>
      <c r="AX261"/>
      <c r="AY261" s="280"/>
      <c r="AZ261"/>
      <c r="BA261"/>
      <c r="BB261"/>
      <c r="BC261"/>
      <c r="BD261"/>
      <c r="BE261"/>
      <c r="BF261"/>
      <c r="BG261" s="280"/>
      <c r="BH261"/>
      <c r="BI261"/>
      <c r="BJ261"/>
      <c r="BK261"/>
      <c r="BL261"/>
      <c r="BM261"/>
      <c r="BN261"/>
      <c r="BO261"/>
    </row>
    <row r="262" spans="1:67" ht="22.25" customHeight="1">
      <c r="A262" s="181">
        <f t="shared" si="78"/>
        <v>45292</v>
      </c>
      <c r="B262" s="485"/>
      <c r="C262" s="490"/>
      <c r="D262" s="521"/>
      <c r="E262" s="194" t="e">
        <f>DATE(YEAR(E261),MONTH(E261)+3,DAY(E261)-1)</f>
        <v>#NUM!</v>
      </c>
      <c r="F262" s="195" t="e">
        <f t="shared" si="98"/>
        <v>#NUM!</v>
      </c>
      <c r="G262" s="196" t="e">
        <f t="shared" si="99"/>
        <v>#NUM!</v>
      </c>
      <c r="H262" s="195" t="e">
        <f t="shared" si="100"/>
        <v>#NUM!</v>
      </c>
      <c r="I262" s="244">
        <v>-1</v>
      </c>
      <c r="J262" s="198" t="e">
        <f>F261-F260</f>
        <v>#NUM!</v>
      </c>
      <c r="K262" s="506" t="str">
        <f t="shared" si="82"/>
        <v>+Inflat.-P</v>
      </c>
      <c r="L262" s="511" t="e">
        <f>IF(M259="Stufe A",IF(AND(L260="Auswahl treffen",D261&gt;=0,D261&lt;=1000),J259,IF(AND(L260="Vermögend und ambulant",D261&gt;8,D261&lt;=1000),130,IF(AND(L260="Vermögend und ambulant",D261&gt;4,D261&lt;=8),158,IF(AND(L260="Vermögend und ambulant",D261&gt;2,D261&lt;=4),192,IF(AND(L260="Vermögend und ambulant",D261&gt;1,D261&lt;=2),208,IF(AND(L260="Vermögend und ambulant",D261&gt;0,D261&lt;=1),298,IF(AND(L260="Vermögend und stationär",D261&gt;8,D261&lt;=1000),78,IF(AND(L260="Vermögend und stationär",D261&gt;4,D261&lt;=8),91,IF(AND(L260="Vermögend und stationär",D261&gt;2,D261&lt;=4),140,IF(AND(L260="Vermögend und stationär",D261&gt;1,D261&lt;=2),158,IF(AND(L260="Vermögend und stationär",D261&gt;0,D261&lt;=1),200,IF(AND(L260="Mittellos und ambulant",D261&gt;8,D261&lt;=1000),105,IF(AND(L260="Mittellos und ambulant",D261&gt;4,D261&lt;=8),122,IF(AND(L260="Mittellos und ambulant",D261&gt;2,D261&lt;=4),151,IF(AND(L260="Mittellos und ambulant",D261&gt;1,D261&lt;=2),170,IF(AND(L260="Mittellos und ambulant",D261&gt;0,D261&lt;=1),208,IF(AND(L260="Mittellos und stationär",D261&gt;8,D261&lt;=1000),62,IF(AND(L260="Mittellos und stationär",D261&gt;4,D261&lt;=8),87,IF(AND(L260="Mittellos und stationär",D261&gt;2,D261&lt;=4),124,IF(AND(L260="Mittellos und stationär",D261&gt;1,D261&lt;=2),129,IF(AND(L260="Mittellos und stationär",D261&gt;0,D261&lt;=1),194,""))))))))))))))))))))),IF(M259="Stufe B",IF(AND(L260="Auswahl treffen",D261&gt;=0,D261&lt;=1000),J259,IF(AND(L260="Vermögend und ambulant",D261&gt;8,D261&lt;=1000),161,IF(AND(L260="Vermögend und ambulant",D261&gt;4,D261&lt;=8),196,IF(AND(L260="Vermögend und ambulant",D261&gt;2,D261&lt;=4),238,IF(AND(L260="Vermögend und ambulant",D261&gt;1,D261&lt;=2),258,IF(AND(L260="Vermögend und ambulant",D261&gt;0,D261&lt;=1),370,IF(AND(L260="Vermögend und stationär",D261&gt;8,D261&lt;=1000),96,IF(AND(L260="Vermögend und stationär",D261&gt;4,D261&lt;=8),113,IF(AND(L260="Vermögend und stationär",D261&gt;2,D261&lt;=4),174,IF(AND(L260="Vermögend und stationär",D261&gt;1,D261&lt;=2),196,IF(AND(L260="Vermögend und stationär",D261&gt;0,D261&lt;=1),249,IF(AND(L260="Mittellos und ambulant",D261&gt;8,D261&lt;=1000),130,IF(AND(L260="Mittellos und ambulant",D261&gt;4,D261&lt;=8),151,IF(AND(L260="Mittellos und ambulant",D261&gt;2,D261&lt;=4),188,IF(AND(L260="Mittellos und ambulant",D261&gt;1,D261&lt;=2),211,IF(AND(L260="Mittellos und ambulant",D261&gt;0,D261&lt;=1),258,IF(AND(L260="Mittellos und stationär",D261&gt;8,D261&lt;=1000),78,IF(AND(L260="Mittellos und stationär",D261&gt;4,D261&lt;=8),107,IF(AND(L260="Mittellos und stationär",D261&gt;2,D261&lt;=4),154,IF(AND(L260="Mittellos und stationär",D261&gt;1,D261&lt;=2),158,IF(AND(L260="Mittellos und stationär",D261&gt;0,D261&lt;=1),241,""))))))))))))))))))))),IF(M259="Stufe C",IF(AND(L260="Auswahl treffen",D261&gt;=0,D261&lt;=1000),J259,IF(AND(L260="Vermögend und ambulant",D261&gt;8,D261&lt;=1000),211,IF(AND(L260="Vermögend und ambulant",D261&gt;4,D261&lt;=8),257,IF(AND(L260="Vermögend und ambulant",D261&gt;2,D261&lt;=4),312,IF(AND(L260="Vermögend und ambulant",D261&gt;1,D261&lt;=2),339,IF(AND(L260="Vermögend und ambulant",D261&gt;0,D261&lt;=1),486,IF(AND(L260="Vermögend und stationär",D261&gt;8,D261&lt;=1000),127,IF(AND(L260="Vermögend und stationär",D261&gt;4,D261&lt;=8),149,IF(AND(L260="Vermögend und stationär",D261&gt;2,D261&lt;=4),229,IF(AND(L260="Vermögend und stationär",D261&gt;1,D261&lt;=2),257,IF(AND(L260="Vermögend und stationär",D261&gt;0,D261&lt;=1),327,IF(AND(L260="Mittellos und ambulant",D261&gt;8,D261&lt;=1000),171,IF(AND(L260="Mittellos und ambulant",D261&gt;4,D261&lt;=8),198,IF(AND(L260="Mittellos und ambulant",D261&gt;2,D261&lt;=4),246,IF(AND(L260="Mittellos und ambulant",D261&gt;1,D261&lt;=2),277,IF(AND(L260="Mittellos und ambulant",D261&gt;0,D261&lt;=1),339,IF(AND(L260="Mittellos und stationär",D261&gt;8,D261&lt;=1000),102,IF(AND(L260="Mittellos und stationär",D261&gt;4,D261&lt;=8),141,IF(AND(L260="Mittellos und stationär",D261&gt;2,D261&lt;=4),202,IF(AND(L260="Mittellos und stationär",D261&gt;1,D261&lt;=2),208,IF(AND(L260="Mittellos und stationär",D261&gt;0,D261&lt;=1),317,""))))))))))))))))))))),"")))*3+(J259*90)</f>
        <v>#NUM!</v>
      </c>
      <c r="M262" s="507" t="str">
        <f>CONCATENATE(K262, K261)</f>
        <v>+Inflat.-P</v>
      </c>
      <c r="N262" s="206" t="s">
        <v>118</v>
      </c>
      <c r="O262" s="207"/>
      <c r="P262" s="207"/>
      <c r="Q262" s="208"/>
      <c r="R262" s="187"/>
      <c r="S262" s="209" t="s">
        <v>118</v>
      </c>
      <c r="T262" s="201" t="s">
        <v>117</v>
      </c>
      <c r="U262" s="210" t="s">
        <v>26</v>
      </c>
      <c r="V262" s="192"/>
      <c r="W262" s="203"/>
      <c r="X262" s="203"/>
      <c r="Y262" s="210"/>
      <c r="Z262" s="192"/>
      <c r="AA262" s="203"/>
      <c r="AB262" s="203"/>
      <c r="AC262" s="210"/>
      <c r="AD262" s="192"/>
      <c r="AE262" s="203"/>
      <c r="AF262" s="203"/>
      <c r="AG262" s="210"/>
      <c r="AH262" s="193"/>
      <c r="AI262" s="203"/>
      <c r="AJ262" s="203"/>
      <c r="AK262" s="376"/>
      <c r="AL262" s="348" t="s">
        <v>148</v>
      </c>
      <c r="AM262" s="354">
        <f>IF(SUM(N260:N268)=SUM(S260:S268), 0, SUM(N260:N268)-SUM(S260:S268))</f>
        <v>0</v>
      </c>
      <c r="AN262" s="354"/>
      <c r="AO262" s="354"/>
      <c r="AP262" s="354"/>
      <c r="AQ262" s="350">
        <f>AM262+AN262+AO262+AP262</f>
        <v>0</v>
      </c>
      <c r="AR262" s="769"/>
      <c r="AS262" s="769"/>
      <c r="AT262" s="769"/>
      <c r="AW262"/>
      <c r="AX262"/>
      <c r="AY262" s="280"/>
      <c r="AZ262"/>
      <c r="BA262"/>
      <c r="BB262"/>
      <c r="BC262"/>
      <c r="BD262"/>
      <c r="BE262"/>
      <c r="BF262"/>
      <c r="BG262" s="280"/>
      <c r="BH262"/>
      <c r="BI262"/>
      <c r="BJ262"/>
      <c r="BK262"/>
      <c r="BL262"/>
      <c r="BM262"/>
      <c r="BN262"/>
      <c r="BO262"/>
    </row>
    <row r="263" spans="1:67" ht="22.25" customHeight="1">
      <c r="A263" s="181">
        <f t="shared" si="78"/>
        <v>45292</v>
      </c>
      <c r="B263" s="484" t="e">
        <f>MONTH(I260)</f>
        <v>#NUM!</v>
      </c>
      <c r="C263" s="489" t="s">
        <v>158</v>
      </c>
      <c r="D263" s="522" t="e">
        <f>D261+1</f>
        <v>#NUM!</v>
      </c>
      <c r="E263" s="211" t="e">
        <f>DATE(YEAR(E262),MONTH(E262),DAY(E262)+1)</f>
        <v>#NUM!</v>
      </c>
      <c r="F263" s="212" t="e">
        <f t="shared" si="98"/>
        <v>#NUM!</v>
      </c>
      <c r="G263" s="213" t="e">
        <f t="shared" si="99"/>
        <v>#NUM!</v>
      </c>
      <c r="H263" s="212" t="e">
        <f t="shared" si="100"/>
        <v>#NUM!</v>
      </c>
      <c r="I263" s="214" t="str">
        <f>IF(D260&lt;&gt;0,"-1T","")</f>
        <v/>
      </c>
      <c r="J263" s="215" t="e">
        <f>DATE($B265,I264,$B261)</f>
        <v>#NUM!</v>
      </c>
      <c r="K263" s="501" t="str">
        <f t="shared" si="82"/>
        <v/>
      </c>
      <c r="L263" s="470"/>
      <c r="M263" s="473" t="e">
        <f ca="1">SUM(J260-E264)&amp;" Tage"</f>
        <v>#NUM!</v>
      </c>
      <c r="N263" s="216"/>
      <c r="O263" s="217"/>
      <c r="P263" s="188"/>
      <c r="Q263" s="217"/>
      <c r="R263" s="189"/>
      <c r="S263" s="190"/>
      <c r="T263" s="190"/>
      <c r="U263" s="191"/>
      <c r="V263" s="192"/>
      <c r="W263" s="190"/>
      <c r="X263" s="190"/>
      <c r="Y263" s="191"/>
      <c r="Z263" s="192"/>
      <c r="AA263" s="190"/>
      <c r="AB263" s="190"/>
      <c r="AC263" s="191"/>
      <c r="AD263" s="192"/>
      <c r="AE263" s="190"/>
      <c r="AF263" s="190"/>
      <c r="AG263" s="191"/>
      <c r="AH263" s="193"/>
      <c r="AI263" s="190"/>
      <c r="AJ263" s="190"/>
      <c r="AK263" s="374"/>
      <c r="AL263" s="348"/>
      <c r="AM263" s="354"/>
      <c r="AN263" s="354"/>
      <c r="AO263" s="354"/>
      <c r="AP263" s="354"/>
      <c r="AQ263" s="350"/>
      <c r="AR263" s="769"/>
      <c r="AS263" s="769"/>
      <c r="AT263" s="769"/>
      <c r="AW263"/>
      <c r="AX263"/>
      <c r="AY263" s="280"/>
      <c r="AZ263"/>
      <c r="BA263"/>
      <c r="BB263"/>
      <c r="BC263"/>
      <c r="BD263"/>
      <c r="BE263"/>
      <c r="BF263"/>
      <c r="BG263" s="280"/>
      <c r="BH263"/>
      <c r="BI263"/>
      <c r="BJ263"/>
      <c r="BK263"/>
      <c r="BL263"/>
      <c r="BM263"/>
      <c r="BN263"/>
      <c r="BO263"/>
    </row>
    <row r="264" spans="1:67" ht="22.25" customHeight="1">
      <c r="A264" s="181">
        <f t="shared" si="78"/>
        <v>45292</v>
      </c>
      <c r="B264" s="485"/>
      <c r="C264" s="490"/>
      <c r="D264" s="521"/>
      <c r="E264" s="218" t="e">
        <f>DATE(YEAR(E263),MONTH(E263)+3,DAY(E263)-1)</f>
        <v>#NUM!</v>
      </c>
      <c r="F264" s="212" t="e">
        <f t="shared" si="98"/>
        <v>#NUM!</v>
      </c>
      <c r="G264" s="213" t="e">
        <f t="shared" si="99"/>
        <v>#NUM!</v>
      </c>
      <c r="H264" s="212" t="e">
        <f t="shared" si="100"/>
        <v>#NUM!</v>
      </c>
      <c r="I264" s="219">
        <f>MAX(I265:I268)</f>
        <v>9</v>
      </c>
      <c r="J264" s="220" t="e">
        <f>DATE(YEAR(J263)+1,MONTH(J263),DAY(J263))</f>
        <v>#NUM!</v>
      </c>
      <c r="K264" s="501" t="str">
        <f t="shared" si="82"/>
        <v>+Inflat.-P</v>
      </c>
      <c r="L264" s="508" t="e">
        <f>IF(M259="Stufe A",IF(AND(L260="Auswahl treffen",D263&gt;=0,D263&lt;=1000),J259,IF(AND(L260="Vermögend und ambulant",D263&gt;8,D263&lt;=1000),130,IF(AND(L260="Vermögend und ambulant",D263&gt;4,D263&lt;=8),158,IF(AND(L260="Vermögend und ambulant",D263&gt;2,D263&lt;=4),192,IF(AND(L260="Vermögend und ambulant",D263&gt;1,D263&lt;=2),208,IF(AND(L260="Vermögend und ambulant",D263&gt;0,D263&lt;=1),298,IF(AND(L260="Vermögend und stationär",D263&gt;8,D263&lt;=1000),78,IF(AND(L260="Vermögend und stationär",D263&gt;4,D263&lt;=8),91,IF(AND(L260="Vermögend und stationär",D263&gt;2,D263&lt;=4),140,IF(AND(L260="Vermögend und stationär",D263&gt;1,D263&lt;=2),158,IF(AND(L260="Vermögend und stationär",D263&gt;0,D263&lt;=1),200,IF(AND(L260="Mittellos und ambulant",D263&gt;8,D263&lt;=1000),105,IF(AND(L260="Mittellos und ambulant",D263&gt;4,D263&lt;=8),122,IF(AND(L260="Mittellos und ambulant",D263&gt;2,D263&lt;=4),151,IF(AND(L260="Mittellos und ambulant",D263&gt;1,D263&lt;=2),170,IF(AND(L260="Mittellos und ambulant",D263&gt;0,D263&lt;=1),208,IF(AND(L260="Mittellos und stationär",D263&gt;8,D263&lt;=1000),62,IF(AND(L260="Mittellos und stationär",D263&gt;4,D263&lt;=8),87,IF(AND(L260="Mittellos und stationär",D263&gt;2,D263&lt;=4),124,IF(AND(L260="Mittellos und stationär",D263&gt;1,D263&lt;=2),129,IF(AND(L260="Mittellos und stationär",D263&gt;0,D263&lt;=1),194,""))))))))))))))))))))),IF(M259="Stufe B",IF(AND(L260="Auswahl treffen",D263&gt;=0,D263&lt;=1000),J259,IF(AND(L260="Vermögend und ambulant",D263&gt;8,D263&lt;=1000),161,IF(AND(L260="Vermögend und ambulant",D263&gt;4,D263&lt;=8),196,IF(AND(L260="Vermögend und ambulant",D263&gt;2,D263&lt;=4),238,IF(AND(L260="Vermögend und ambulant",D263&gt;1,D263&lt;=2),258,IF(AND(L260="Vermögend und ambulant",D263&gt;0,D263&lt;=1),370,IF(AND(L260="Vermögend und stationär",D263&gt;8,D263&lt;=1000),96,IF(AND(L260="Vermögend und stationär",D263&gt;4,D263&lt;=8),113,IF(AND(L260="Vermögend und stationär",D263&gt;2,D263&lt;=4),174,IF(AND(L260="Vermögend und stationär",D263&gt;1,D263&lt;=2),196,IF(AND(L260="Vermögend und stationär",D263&gt;0,D263&lt;=1),249,IF(AND(L260="Mittellos und ambulant",D263&gt;8,D263&lt;=1000),130,IF(AND(L260="Mittellos und ambulant",D263&gt;4,D263&lt;=8),151,IF(AND(L260="Mittellos und ambulant",D263&gt;2,D263&lt;=4),188,IF(AND(L260="Mittellos und ambulant",D263&gt;1,D263&lt;=2),211,IF(AND(L260="Mittellos und ambulant",D263&gt;0,D263&lt;=1),258,IF(AND(L260="Mittellos und stationär",D263&gt;8,D263&lt;=1000),78,IF(AND(L260="Mittellos und stationär",D263&gt;4,D263&lt;=8),107,IF(AND(L260="Mittellos und stationär",D263&gt;2,D263&lt;=4),154,IF(AND(L260="Mittellos und stationär",D263&gt;1,D263&lt;=2),158,IF(AND(L260="Mittellos und stationär",D263&gt;0,D263&lt;=1),241,""))))))))))))))))))))),IF(M259="Stufe C",IF(AND(L260="Auswahl treffen",D263&gt;=0,D263&lt;=1000),J259,IF(AND(L260="Vermögend und ambulant",D263&gt;8,D263&lt;=1000),211,IF(AND(L260="Vermögend und ambulant",D263&gt;4,D263&lt;=8),257,IF(AND(L260="Vermögend und ambulant",D263&gt;2,D263&lt;=4),312,IF(AND(L260="Vermögend und ambulant",D263&gt;1,D263&lt;=2),339,IF(AND(L260="Vermögend und ambulant",D263&gt;0,D263&lt;=1),486,IF(AND(L260="Vermögend und stationär",D263&gt;8,D263&lt;=1000),127,IF(AND(L260="Vermögend und stationär",D263&gt;4,D263&lt;=8),149,IF(AND(L260="Vermögend und stationär",D263&gt;2,D263&lt;=4),229,IF(AND(L260="Vermögend und stationär",D263&gt;1,D263&lt;=2),257,IF(AND(L260="Vermögend und stationär",D263&gt;0,D263&lt;=1),327,IF(AND(L260="Mittellos und ambulant",D263&gt;8,D263&lt;=1000),171,IF(AND(L260="Mittellos und ambulant",D263&gt;4,D263&lt;=8),198,IF(AND(L260="Mittellos und ambulant",D263&gt;2,D263&lt;=4),246,IF(AND(L260="Mittellos und ambulant",D263&gt;1,D263&lt;=2),277,IF(AND(L260="Mittellos und ambulant",D263&gt;0,D263&lt;=1),339,IF(AND(L260="Mittellos und stationär",D263&gt;8,D263&lt;=1000),102,IF(AND(L260="Mittellos und stationär",D263&gt;4,D263&lt;=8),141,IF(AND(L260="Mittellos und stationär",D263&gt;2,D263&lt;=4),202,IF(AND(L260="Mittellos und stationär",D263&gt;1,D263&lt;=2),208,IF(AND(L260="Mittellos und stationär",D263&gt;0,D263&lt;=1),317,""))))))))))))))))))))),"")))*3+(J259*90)</f>
        <v>#NUM!</v>
      </c>
      <c r="M264" s="507" t="str">
        <f>CONCATENATE(K264, K263)</f>
        <v>+Inflat.-P</v>
      </c>
      <c r="N264" s="216"/>
      <c r="O264" s="188" t="s">
        <v>118</v>
      </c>
      <c r="P264" s="188"/>
      <c r="Q264" s="221"/>
      <c r="R264" s="199"/>
      <c r="S264" s="190"/>
      <c r="T264" s="190"/>
      <c r="U264" s="191"/>
      <c r="V264" s="192"/>
      <c r="W264" s="222" t="s">
        <v>118</v>
      </c>
      <c r="X264" s="222" t="s">
        <v>117</v>
      </c>
      <c r="Y264" s="191" t="s">
        <v>26</v>
      </c>
      <c r="Z264" s="192"/>
      <c r="AA264" s="190"/>
      <c r="AB264" s="190"/>
      <c r="AC264" s="191"/>
      <c r="AD264" s="192"/>
      <c r="AE264" s="190"/>
      <c r="AF264" s="190"/>
      <c r="AG264" s="191"/>
      <c r="AH264" s="193"/>
      <c r="AI264" s="190"/>
      <c r="AJ264" s="190"/>
      <c r="AK264" s="374"/>
      <c r="AL264" s="348" t="s">
        <v>149</v>
      </c>
      <c r="AM264" s="354"/>
      <c r="AN264" s="354">
        <f>IF(SUM(O260:O268)=SUM(W260:W268), 0, SUM(O260:O268)-SUM(W260:W268))</f>
        <v>0</v>
      </c>
      <c r="AO264" s="354"/>
      <c r="AP264" s="354"/>
      <c r="AQ264" s="350">
        <f>AM264+AN264+AO264+AP264</f>
        <v>0</v>
      </c>
      <c r="AR264" s="769"/>
      <c r="AS264" s="769"/>
      <c r="AT264" s="769"/>
      <c r="AW264"/>
      <c r="AX264"/>
      <c r="AY264" s="280"/>
      <c r="AZ264"/>
      <c r="BA264"/>
      <c r="BB264"/>
      <c r="BC264"/>
      <c r="BD264"/>
      <c r="BE264"/>
      <c r="BF264"/>
      <c r="BG264" s="280"/>
      <c r="BH264"/>
      <c r="BI264"/>
      <c r="BJ264"/>
      <c r="BK264"/>
      <c r="BL264"/>
      <c r="BM264"/>
      <c r="BN264"/>
      <c r="BO264"/>
    </row>
    <row r="265" spans="1:67" ht="22.25" customHeight="1">
      <c r="A265" s="181">
        <f t="shared" ref="A265:A328" si="101">$A264</f>
        <v>45292</v>
      </c>
      <c r="B265" s="484">
        <f>YEAR($A266)-1</f>
        <v>2023</v>
      </c>
      <c r="C265" s="489" t="s">
        <v>158</v>
      </c>
      <c r="D265" s="520" t="e">
        <f>D263+1</f>
        <v>#NUM!</v>
      </c>
      <c r="E265" s="194" t="e">
        <f>DATE(YEAR(E264),MONTH(E264),DAY(E264)+1)</f>
        <v>#NUM!</v>
      </c>
      <c r="F265" s="195" t="e">
        <f t="shared" si="98"/>
        <v>#NUM!</v>
      </c>
      <c r="G265" s="196" t="e">
        <f t="shared" si="99"/>
        <v>#NUM!</v>
      </c>
      <c r="H265" s="195" t="e">
        <f t="shared" si="100"/>
        <v>#NUM!</v>
      </c>
      <c r="I265" s="197">
        <f>IF(J267&lt;13,J267,"")</f>
        <v>9</v>
      </c>
      <c r="J265" s="224">
        <f>G260</f>
        <v>0</v>
      </c>
      <c r="K265" s="506" t="str">
        <f t="shared" si="82"/>
        <v/>
      </c>
      <c r="L265" s="471"/>
      <c r="M265" s="473" t="e">
        <f ca="1">SUM(J260-E266)&amp;" Tage"</f>
        <v>#NUM!</v>
      </c>
      <c r="N265" s="200"/>
      <c r="O265" s="201"/>
      <c r="P265" s="201"/>
      <c r="Q265" s="202"/>
      <c r="R265" s="189"/>
      <c r="S265" s="203"/>
      <c r="T265" s="203"/>
      <c r="U265" s="204"/>
      <c r="V265" s="192"/>
      <c r="W265" s="203"/>
      <c r="X265" s="203"/>
      <c r="Y265" s="204"/>
      <c r="Z265" s="192"/>
      <c r="AA265" s="203"/>
      <c r="AB265" s="203"/>
      <c r="AC265" s="204"/>
      <c r="AD265" s="192"/>
      <c r="AE265" s="203"/>
      <c r="AF265" s="203"/>
      <c r="AG265" s="204"/>
      <c r="AH265" s="193"/>
      <c r="AI265" s="203"/>
      <c r="AJ265" s="203"/>
      <c r="AK265" s="375"/>
      <c r="AL265" s="348"/>
      <c r="AM265" s="354"/>
      <c r="AN265" s="354"/>
      <c r="AO265" s="354"/>
      <c r="AP265" s="354"/>
      <c r="AQ265" s="350"/>
      <c r="AR265" s="769"/>
      <c r="AS265" s="769"/>
      <c r="AT265" s="769"/>
      <c r="AW265"/>
      <c r="AX265"/>
      <c r="AY265" s="280"/>
      <c r="AZ265"/>
      <c r="BA265"/>
      <c r="BB265"/>
      <c r="BC265"/>
      <c r="BD265"/>
      <c r="BE265"/>
      <c r="BF265"/>
      <c r="BG265" s="280"/>
      <c r="BH265"/>
      <c r="BI265"/>
      <c r="BJ265"/>
      <c r="BK265"/>
      <c r="BL265"/>
      <c r="BM265"/>
      <c r="BN265"/>
      <c r="BO265"/>
    </row>
    <row r="266" spans="1:67" ht="22.25" customHeight="1">
      <c r="A266" s="181">
        <f t="shared" si="101"/>
        <v>45292</v>
      </c>
      <c r="B266" s="485"/>
      <c r="C266" s="490"/>
      <c r="D266" s="521"/>
      <c r="E266" s="194" t="e">
        <f>DATE(YEAR(E265),MONTH(E265)+3,DAY(E265)-1)</f>
        <v>#NUM!</v>
      </c>
      <c r="F266" s="195" t="e">
        <f t="shared" si="98"/>
        <v>#NUM!</v>
      </c>
      <c r="G266" s="196" t="e">
        <f t="shared" si="99"/>
        <v>#NUM!</v>
      </c>
      <c r="H266" s="195" t="e">
        <f t="shared" si="100"/>
        <v>#NUM!</v>
      </c>
      <c r="I266" s="244">
        <f>IF(J268&lt;13,J268,"")</f>
        <v>6</v>
      </c>
      <c r="J266" s="224">
        <f>J265+3</f>
        <v>3</v>
      </c>
      <c r="K266" s="501" t="str">
        <f t="shared" si="82"/>
        <v>+Inflat.-P</v>
      </c>
      <c r="L266" s="511" t="e">
        <f>IF(M259="Stufe A",IF(AND(L260="Auswahl treffen",D265&gt;=0,D265&lt;=1000),J259,IF(AND(L260="Vermögend und ambulant",D265&gt;8,D265&lt;=1000),130,IF(AND(L260="Vermögend und ambulant",D265&gt;4,D265&lt;=8),158,IF(AND(L260="Vermögend und ambulant",D265&gt;2,D265&lt;=4),192,IF(AND(L260="Vermögend und ambulant",D265&gt;1,D265&lt;=2),208,IF(AND(L260="Vermögend und ambulant",D265&gt;0,D265&lt;=1),298,IF(AND(L260="Vermögend und stationär",D265&gt;8,D265&lt;=1000),78,IF(AND(L260="Vermögend und stationär",D265&gt;4,D265&lt;=8),91,IF(AND(L260="Vermögend und stationär",D265&gt;2,D265&lt;=4),140,IF(AND(L260="Vermögend und stationär",D265&gt;1,D265&lt;=2),158,IF(AND(L260="Vermögend und stationär",D265&gt;0,D265&lt;=1),200,IF(AND(L260="Mittellos und ambulant",D265&gt;8,D265&lt;=1000),105,IF(AND(L260="Mittellos und ambulant",D265&gt;4,D265&lt;=8),122,IF(AND(L260="Mittellos und ambulant",D265&gt;2,D265&lt;=4),151,IF(AND(L260="Mittellos und ambulant",D265&gt;1,D265&lt;=2),170,IF(AND(L260="Mittellos und ambulant",D265&gt;0,D265&lt;=1),208,IF(AND(L260="Mittellos und stationär",D265&gt;8,D265&lt;=1000),62,IF(AND(L260="Mittellos und stationär",D265&gt;4,D265&lt;=8),87,IF(AND(L260="Mittellos und stationär",D265&gt;2,D265&lt;=4),124,IF(AND(L260="Mittellos und stationär",D265&gt;1,D265&lt;=2),129,IF(AND(L260="Mittellos und stationär",D265&gt;0,D265&lt;=1),194,""))))))))))))))))))))),IF(M259="Stufe B",IF(AND(L260="Auswahl treffen",D265&gt;=0,D265&lt;=1000),J259,IF(AND(L260="Vermögend und ambulant",D265&gt;8,D265&lt;=1000),161,IF(AND(L260="Vermögend und ambulant",D265&gt;4,D265&lt;=8),196,IF(AND(L260="Vermögend und ambulant",D265&gt;2,D265&lt;=4),238,IF(AND(L260="Vermögend und ambulant",D265&gt;1,D265&lt;=2),258,IF(AND(L260="Vermögend und ambulant",D265&gt;0,D265&lt;=1),370,IF(AND(L260="Vermögend und stationär",D265&gt;8,D265&lt;=1000),96,IF(AND(L260="Vermögend und stationär",D265&gt;4,D265&lt;=8),113,IF(AND(L260="Vermögend und stationär",D265&gt;2,D265&lt;=4),174,IF(AND(L260="Vermögend und stationär",D265&gt;1,D265&lt;=2),196,IF(AND(L260="Vermögend und stationär",D265&gt;0,D265&lt;=1),249,IF(AND(L260="Mittellos und ambulant",D265&gt;8,D265&lt;=1000),130,IF(AND(L260="Mittellos und ambulant",D265&gt;4,D265&lt;=8),151,IF(AND(L260="Mittellos und ambulant",D265&gt;2,D265&lt;=4),188,IF(AND(L260="Mittellos und ambulant",D265&gt;1,D265&lt;=2),211,IF(AND(L260="Mittellos und ambulant",D265&gt;0,D265&lt;=1),258,IF(AND(L260="Mittellos und stationär",D265&gt;8,D265&lt;=1000),78,IF(AND(L260="Mittellos und stationär",D265&gt;4,D265&lt;=8),107,IF(AND(L260="Mittellos und stationär",D265&gt;2,D265&lt;=4),154,IF(AND(L260="Mittellos und stationär",D265&gt;1,D265&lt;=2),158,IF(AND(L260="Mittellos und stationär",D265&gt;0,D265&lt;=1),241,""))))))))))))))))))))),IF(M259="Stufe C",IF(AND(L260="Auswahl treffen",D265&gt;=0,D265&lt;=1000),J259,IF(AND(L260="Vermögend und ambulant",D265&gt;8,D265&lt;=1000),211,IF(AND(L260="Vermögend und ambulant",D265&gt;4,D265&lt;=8),257,IF(AND(L260="Vermögend und ambulant",D265&gt;2,D265&lt;=4),312,IF(AND(L260="Vermögend und ambulant",D265&gt;1,D265&lt;=2),339,IF(AND(L260="Vermögend und ambulant",D265&gt;0,D265&lt;=1),486,IF(AND(L260="Vermögend und stationär",D265&gt;8,D265&lt;=1000),127,IF(AND(L260="Vermögend und stationär",D265&gt;4,D265&lt;=8),149,IF(AND(L260="Vermögend und stationär",D265&gt;2,D265&lt;=4),229,IF(AND(L260="Vermögend und stationär",D265&gt;1,D265&lt;=2),257,IF(AND(L260="Vermögend und stationär",D265&gt;0,D265&lt;=1),327,IF(AND(L260="Mittellos und ambulant",D265&gt;8,D265&lt;=1000),171,IF(AND(L260="Mittellos und ambulant",D265&gt;4,D265&lt;=8),198,IF(AND(L260="Mittellos und ambulant",D265&gt;2,D265&lt;=4),246,IF(AND(L260="Mittellos und ambulant",D265&gt;1,D265&lt;=2),277,IF(AND(L260="Mittellos und ambulant",D265&gt;0,D265&lt;=1),339,IF(AND(L260="Mittellos und stationär",D265&gt;8,D265&lt;=1000),102,IF(AND(L260="Mittellos und stationär",D265&gt;4,D265&lt;=8),141,IF(AND(L260="Mittellos und stationär",D265&gt;2,D265&lt;=4),202,IF(AND(L260="Mittellos und stationär",D265&gt;1,D265&lt;=2),208,IF(AND(L260="Mittellos und stationär",D265&gt;0,D265&lt;=1),317,""))))))))))))))))))))),"")))*3+(J259*90)</f>
        <v>#NUM!</v>
      </c>
      <c r="M266" s="507" t="str">
        <f>CONCATENATE(K266, K265)</f>
        <v>+Inflat.-P</v>
      </c>
      <c r="N266" s="206"/>
      <c r="O266" s="207"/>
      <c r="P266" s="206" t="s">
        <v>118</v>
      </c>
      <c r="Q266" s="226"/>
      <c r="R266" s="189"/>
      <c r="S266" s="203"/>
      <c r="T266" s="203"/>
      <c r="U266" s="204"/>
      <c r="V266" s="192"/>
      <c r="W266" s="203"/>
      <c r="X266" s="203"/>
      <c r="Y266" s="204"/>
      <c r="Z266" s="192"/>
      <c r="AA266" s="209" t="s">
        <v>118</v>
      </c>
      <c r="AB266" s="209" t="s">
        <v>117</v>
      </c>
      <c r="AC266" s="204" t="s">
        <v>26</v>
      </c>
      <c r="AD266" s="192"/>
      <c r="AE266" s="203"/>
      <c r="AF266" s="203"/>
      <c r="AG266" s="204"/>
      <c r="AH266" s="193"/>
      <c r="AI266" s="203"/>
      <c r="AJ266" s="203"/>
      <c r="AK266" s="375"/>
      <c r="AL266" s="348" t="s">
        <v>150</v>
      </c>
      <c r="AM266" s="354"/>
      <c r="AN266" s="354"/>
      <c r="AO266" s="354">
        <f>IF(SUM(P260:P268)=SUM(AA260:AA268), 0, SUM(P260:P268)-SUM(AA260:AA268))</f>
        <v>0</v>
      </c>
      <c r="AP266" s="354"/>
      <c r="AQ266" s="350">
        <f>AM266+AN266+AO266+AP266</f>
        <v>0</v>
      </c>
      <c r="AR266" s="769"/>
      <c r="AS266" s="769"/>
      <c r="AT266" s="769"/>
      <c r="AW266"/>
      <c r="AX266"/>
      <c r="AY266" s="280"/>
      <c r="AZ266"/>
      <c r="BA266"/>
      <c r="BB266"/>
      <c r="BC266"/>
      <c r="BD266"/>
      <c r="BE266"/>
      <c r="BF266"/>
      <c r="BG266" s="280"/>
      <c r="BH266"/>
      <c r="BI266"/>
      <c r="BJ266"/>
      <c r="BK266"/>
      <c r="BL266"/>
      <c r="BM266"/>
      <c r="BN266"/>
      <c r="BO266"/>
    </row>
    <row r="267" spans="1:67" ht="22.25" customHeight="1">
      <c r="A267" s="181">
        <f t="shared" si="101"/>
        <v>45292</v>
      </c>
      <c r="B267" s="486"/>
      <c r="C267" s="489" t="s">
        <v>158</v>
      </c>
      <c r="D267" s="522" t="e">
        <f>D265+1</f>
        <v>#NUM!</v>
      </c>
      <c r="E267" s="211" t="e">
        <f>DATE(YEAR(E266),MONTH(E266),DAY(E266)+1)</f>
        <v>#NUM!</v>
      </c>
      <c r="F267" s="227" t="e">
        <f t="shared" si="98"/>
        <v>#NUM!</v>
      </c>
      <c r="G267" s="228" t="e">
        <f t="shared" si="99"/>
        <v>#NUM!</v>
      </c>
      <c r="H267" s="227" t="e">
        <f t="shared" si="100"/>
        <v>#NUM!</v>
      </c>
      <c r="I267" s="231">
        <f>IF(J266&lt;13,J266,"")</f>
        <v>3</v>
      </c>
      <c r="J267" s="230">
        <f>J268+3</f>
        <v>9</v>
      </c>
      <c r="K267" s="506" t="str">
        <f t="shared" si="82"/>
        <v/>
      </c>
      <c r="L267" s="471"/>
      <c r="M267" s="473" t="e">
        <f ca="1">SUM(J260-E268)&amp;" Tage"</f>
        <v>#NUM!</v>
      </c>
      <c r="N267" s="216"/>
      <c r="O267" s="188"/>
      <c r="P267" s="188"/>
      <c r="Q267" s="217"/>
      <c r="R267" s="189"/>
      <c r="S267" s="190"/>
      <c r="T267" s="190"/>
      <c r="U267" s="191"/>
      <c r="V267" s="192"/>
      <c r="W267" s="190"/>
      <c r="X267" s="190"/>
      <c r="Y267" s="191"/>
      <c r="Z267" s="192"/>
      <c r="AA267" s="190"/>
      <c r="AB267" s="190"/>
      <c r="AC267" s="191"/>
      <c r="AD267" s="192"/>
      <c r="AE267" s="190"/>
      <c r="AF267" s="190"/>
      <c r="AG267" s="191"/>
      <c r="AH267" s="193"/>
      <c r="AI267" s="190"/>
      <c r="AJ267" s="190"/>
      <c r="AK267" s="374"/>
      <c r="AL267" s="348"/>
      <c r="AM267" s="354"/>
      <c r="AN267" s="354"/>
      <c r="AO267" s="354"/>
      <c r="AP267" s="354"/>
      <c r="AQ267" s="350"/>
      <c r="AR267" s="769"/>
      <c r="AS267" s="769"/>
      <c r="AT267" s="769"/>
      <c r="AW267"/>
      <c r="AX267"/>
      <c r="AY267" s="280"/>
      <c r="AZ267"/>
      <c r="BA267"/>
      <c r="BB267"/>
      <c r="BC267"/>
      <c r="BD267"/>
      <c r="BE267"/>
      <c r="BF267"/>
      <c r="BG267" s="280"/>
      <c r="BH267"/>
      <c r="BI267"/>
      <c r="BJ267"/>
      <c r="BK267"/>
      <c r="BL267"/>
      <c r="BM267"/>
      <c r="BN267"/>
      <c r="BO267"/>
    </row>
    <row r="268" spans="1:67" ht="22.25" customHeight="1">
      <c r="A268" s="181">
        <f t="shared" si="101"/>
        <v>45292</v>
      </c>
      <c r="B268" s="485"/>
      <c r="C268" s="490"/>
      <c r="D268" s="521"/>
      <c r="E268" s="218" t="e">
        <f>DATE(YEAR(E267),MONTH(E267)+3,DAY(E267)-1)</f>
        <v>#NUM!</v>
      </c>
      <c r="F268" s="227" t="e">
        <f t="shared" si="98"/>
        <v>#NUM!</v>
      </c>
      <c r="G268" s="228" t="e">
        <f t="shared" si="99"/>
        <v>#NUM!</v>
      </c>
      <c r="H268" s="227" t="e">
        <f t="shared" si="100"/>
        <v>#NUM!</v>
      </c>
      <c r="I268" s="231">
        <f>IF(J265&lt;13,J265,"")</f>
        <v>0</v>
      </c>
      <c r="J268" s="230">
        <f>J266+3</f>
        <v>6</v>
      </c>
      <c r="K268" s="501" t="str">
        <f t="shared" si="82"/>
        <v>+Inflat.-P</v>
      </c>
      <c r="L268" s="508" t="e">
        <f>IF(M259="Stufe A",IF(AND(L260="Auswahl treffen",D267&gt;=0,D267&lt;=1000),J259,IF(AND(L260="Vermögend und ambulant",D267&gt;8,D267&lt;=1000),130,IF(AND(L260="Vermögend und ambulant",D267&gt;4,D267&lt;=8),158,IF(AND(L260="Vermögend und ambulant",D267&gt;2,D267&lt;=4),192,IF(AND(L260="Vermögend und ambulant",D267&gt;1,D267&lt;=2),208,IF(AND(L260="Vermögend und ambulant",D267&gt;0,D267&lt;=1),298,IF(AND(L260="Vermögend und stationär",D267&gt;8,D267&lt;=1000),78,IF(AND(L260="Vermögend und stationär",D267&gt;4,D267&lt;=8),91,IF(AND(L260="Vermögend und stationär",D267&gt;2,D267&lt;=4),140,IF(AND(L260="Vermögend und stationär",D267&gt;1,D267&lt;=2),158,IF(AND(L260="Vermögend und stationär",D267&gt;0,D267&lt;=1),200,IF(AND(L260="Mittellos und ambulant",D267&gt;8,D267&lt;=1000),105,IF(AND(L260="Mittellos und ambulant",D267&gt;4,D267&lt;=8),122,IF(AND(L260="Mittellos und ambulant",D267&gt;2,D267&lt;=4),151,IF(AND(L260="Mittellos und ambulant",D267&gt;1,D267&lt;=2),170,IF(AND(L260="Mittellos und ambulant",D267&gt;0,D267&lt;=1),208,IF(AND(L260="Mittellos und stationär",D267&gt;8,D267&lt;=1000),62,IF(AND(L260="Mittellos und stationär",D267&gt;4,D267&lt;=8),87,IF(AND(L260="Mittellos und stationär",D267&gt;2,D267&lt;=4),124,IF(AND(L260="Mittellos und stationär",D267&gt;1,D267&lt;=2),129,IF(AND(L260="Mittellos und stationär",D267&gt;0,D267&lt;=1),194,""))))))))))))))))))))),IF(M259="Stufe B",IF(AND(L260="Auswahl treffen",D267&gt;=0,D267&lt;=1000),J259,IF(AND(L260="Vermögend und ambulant",D267&gt;8,D267&lt;=1000),161,IF(AND(L260="Vermögend und ambulant",D267&gt;4,D267&lt;=8),196,IF(AND(L260="Vermögend und ambulant",D267&gt;2,D267&lt;=4),238,IF(AND(L260="Vermögend und ambulant",D267&gt;1,D267&lt;=2),258,IF(AND(L260="Vermögend und ambulant",D267&gt;0,D267&lt;=1),370,IF(AND(L260="Vermögend und stationär",D267&gt;8,D267&lt;=1000),96,IF(AND(L260="Vermögend und stationär",D267&gt;4,D267&lt;=8),113,IF(AND(L260="Vermögend und stationär",D267&gt;2,D267&lt;=4),174,IF(AND(L260="Vermögend und stationär",D267&gt;1,D267&lt;=2),196,IF(AND(L260="Vermögend und stationär",D267&gt;0,D267&lt;=1),249,IF(AND(L260="Mittellos und ambulant",D267&gt;8,D267&lt;=1000),130,IF(AND(L260="Mittellos und ambulant",D267&gt;4,D267&lt;=8),151,IF(AND(L260="Mittellos und ambulant",D267&gt;2,D267&lt;=4),188,IF(AND(L260="Mittellos und ambulant",D267&gt;1,D267&lt;=2),211,IF(AND(L260="Mittellos und ambulant",D267&gt;0,D267&lt;=1),258,IF(AND(L260="Mittellos und stationär",D267&gt;8,D267&lt;=1000),78,IF(AND(L260="Mittellos und stationär",D267&gt;4,D267&lt;=8),107,IF(AND(L260="Mittellos und stationär",D267&gt;2,D267&lt;=4),154,IF(AND(L260="Mittellos und stationär",D267&gt;1,D267&lt;=2),158,IF(AND(L260="Mittellos und stationär",D267&gt;0,D267&lt;=1),241,""))))))))))))))))))))),IF(M259="Stufe C",IF(AND(L260="Auswahl treffen",D267&gt;=0,D267&lt;=1000),J259,IF(AND(L260="Vermögend und ambulant",D267&gt;8,D267&lt;=1000),211,IF(AND(L260="Vermögend und ambulant",D267&gt;4,D267&lt;=8),257,IF(AND(L260="Vermögend und ambulant",D267&gt;2,D267&lt;=4),312,IF(AND(L260="Vermögend und ambulant",D267&gt;1,D267&lt;=2),339,IF(AND(L260="Vermögend und ambulant",D267&gt;0,D267&lt;=1),486,IF(AND(L260="Vermögend und stationär",D267&gt;8,D267&lt;=1000),127,IF(AND(L260="Vermögend und stationär",D267&gt;4,D267&lt;=8),149,IF(AND(L260="Vermögend und stationär",D267&gt;2,D267&lt;=4),229,IF(AND(L260="Vermögend und stationär",D267&gt;1,D267&lt;=2),257,IF(AND(L260="Vermögend und stationär",D267&gt;0,D267&lt;=1),327,IF(AND(L260="Mittellos und ambulant",D267&gt;8,D267&lt;=1000),171,IF(AND(L260="Mittellos und ambulant",D267&gt;4,D267&lt;=8),198,IF(AND(L260="Mittellos und ambulant",D267&gt;2,D267&lt;=4),246,IF(AND(L260="Mittellos und ambulant",D267&gt;1,D267&lt;=2),277,IF(AND(L260="Mittellos und ambulant",D267&gt;0,D267&lt;=1),339,IF(AND(L260="Mittellos und stationär",D267&gt;8,D267&lt;=1000),102,IF(AND(L260="Mittellos und stationär",D267&gt;4,D267&lt;=8),141,IF(AND(L260="Mittellos und stationär",D267&gt;2,D267&lt;=4),202,IF(AND(L260="Mittellos und stationär",D267&gt;1,D267&lt;=2),208,IF(AND(L260="Mittellos und stationär",D267&gt;0,D267&lt;=1),317,""))))))))))))))))))))),"")))*3+(J259*90)</f>
        <v>#NUM!</v>
      </c>
      <c r="M268" s="507" t="str">
        <f>CONCATENATE(K268, K267)</f>
        <v>+Inflat.-P</v>
      </c>
      <c r="N268" s="216"/>
      <c r="O268" s="188"/>
      <c r="P268" s="188"/>
      <c r="Q268" s="217" t="s">
        <v>118</v>
      </c>
      <c r="R268" s="189"/>
      <c r="S268" s="190"/>
      <c r="T268" s="190"/>
      <c r="U268" s="191"/>
      <c r="V268" s="192"/>
      <c r="W268" s="190"/>
      <c r="X268" s="190"/>
      <c r="Y268" s="191"/>
      <c r="Z268" s="192"/>
      <c r="AA268" s="190"/>
      <c r="AB268" s="190"/>
      <c r="AC268" s="191"/>
      <c r="AD268" s="192"/>
      <c r="AE268" s="190" t="s">
        <v>118</v>
      </c>
      <c r="AF268" s="190" t="s">
        <v>117</v>
      </c>
      <c r="AG268" s="191" t="s">
        <v>26</v>
      </c>
      <c r="AH268" s="193"/>
      <c r="AI268" s="190" t="s">
        <v>118</v>
      </c>
      <c r="AJ268" s="190" t="s">
        <v>117</v>
      </c>
      <c r="AK268" s="374" t="s">
        <v>26</v>
      </c>
      <c r="AL268" s="348" t="s">
        <v>151</v>
      </c>
      <c r="AM268" s="354"/>
      <c r="AN268" s="354"/>
      <c r="AO268" s="354"/>
      <c r="AP268" s="354">
        <f>IF(SUM(Q260:Q268)=SUM(AE260:AE268,AI260:AI268), 0, SUM(Q260:Q268)-SUM(AE260:AE268,AI260:AI268))</f>
        <v>0</v>
      </c>
      <c r="AQ268" s="350">
        <f>AM268+AN268+AO268+AP268</f>
        <v>0</v>
      </c>
      <c r="AR268" s="769"/>
      <c r="AS268" s="769"/>
      <c r="AT268" s="769"/>
      <c r="AW268"/>
      <c r="AX268"/>
      <c r="AY268" s="280"/>
      <c r="AZ268"/>
      <c r="BA268"/>
      <c r="BB268"/>
      <c r="BC268"/>
      <c r="BD268"/>
      <c r="BE268"/>
      <c r="BF268"/>
      <c r="BG268" s="280"/>
      <c r="BH268"/>
      <c r="BI268"/>
      <c r="BJ268"/>
      <c r="BK268"/>
      <c r="BL268"/>
      <c r="BM268"/>
      <c r="BN268"/>
      <c r="BO268"/>
    </row>
    <row r="269" spans="1:67" ht="22" customHeight="1">
      <c r="A269" s="181">
        <f t="shared" si="101"/>
        <v>45292</v>
      </c>
      <c r="B269" s="232" t="s">
        <v>74</v>
      </c>
      <c r="C269" s="233" t="s">
        <v>75</v>
      </c>
      <c r="D269" s="234" t="s">
        <v>76</v>
      </c>
      <c r="E269" s="235" t="s">
        <v>11</v>
      </c>
      <c r="F269" s="235" t="s">
        <v>4</v>
      </c>
      <c r="G269" s="235" t="s">
        <v>5</v>
      </c>
      <c r="H269" s="235" t="s">
        <v>6</v>
      </c>
      <c r="I269" s="236" t="s">
        <v>77</v>
      </c>
      <c r="J269" s="306"/>
      <c r="K269" s="506" t="str">
        <f t="shared" si="82"/>
        <v/>
      </c>
      <c r="L269" s="306" t="str">
        <f>IFERROR(VLOOKUP(B270,'Aktuelle Einnahmen'!A2:J104,10,0),"")</f>
        <v/>
      </c>
      <c r="M269" s="510" t="str">
        <f>M259</f>
        <v>Stufe C</v>
      </c>
      <c r="N269" s="237"/>
      <c r="O269" s="238"/>
      <c r="P269" s="238"/>
      <c r="Q269" s="239"/>
      <c r="R269" s="240"/>
      <c r="S269" s="241"/>
      <c r="T269" s="241"/>
      <c r="U269" s="242"/>
      <c r="V269" s="243"/>
      <c r="W269" s="241"/>
      <c r="X269" s="241"/>
      <c r="Y269" s="242"/>
      <c r="Z269" s="243"/>
      <c r="AA269" s="241"/>
      <c r="AB269" s="241"/>
      <c r="AC269" s="242"/>
      <c r="AD269" s="243"/>
      <c r="AE269" s="241"/>
      <c r="AF269" s="241"/>
      <c r="AG269" s="242"/>
      <c r="AH269" s="240"/>
      <c r="AI269" s="241"/>
      <c r="AJ269" s="241"/>
      <c r="AK269" s="377"/>
      <c r="AL269" s="347"/>
      <c r="AM269" s="353"/>
      <c r="AN269" s="353"/>
      <c r="AO269" s="353"/>
      <c r="AP269" s="353"/>
      <c r="AQ269" s="349"/>
      <c r="AR269" s="768"/>
      <c r="AS269" s="768"/>
      <c r="AT269" s="768"/>
      <c r="AW269"/>
      <c r="AX269"/>
      <c r="AY269" s="280"/>
      <c r="AZ269"/>
      <c r="BA269"/>
      <c r="BB269"/>
      <c r="BC269"/>
      <c r="BD269"/>
      <c r="BE269"/>
      <c r="BF269"/>
      <c r="BG269" s="280"/>
      <c r="BH269"/>
      <c r="BI269"/>
      <c r="BJ269"/>
      <c r="BK269"/>
      <c r="BL269"/>
      <c r="BM269"/>
      <c r="BN269"/>
      <c r="BO269"/>
    </row>
    <row r="270" spans="1:67" ht="23" customHeight="1">
      <c r="A270" s="181">
        <f t="shared" si="101"/>
        <v>45292</v>
      </c>
      <c r="B270" s="182">
        <v>27</v>
      </c>
      <c r="C270" s="245">
        <f>IFERROR(VLOOKUP($B270,'Aktuelle Einnahmen'!A2:G104,3,0),"")</f>
        <v>0</v>
      </c>
      <c r="D270" s="246">
        <f>IFERROR(VLOOKUP($B270,'Aktuelle Einnahmen'!A2:G104,2,0),"")</f>
        <v>0</v>
      </c>
      <c r="E270" s="247">
        <f>IFERROR(VLOOKUP($B270,'Aktuelle Einnahmen'!A2:G104,4,0),"")</f>
        <v>0</v>
      </c>
      <c r="F270" s="94">
        <f>IFERROR(VLOOKUP($B270,'Aktuelle Einnahmen'!A2:G104,5,0),"")</f>
        <v>0</v>
      </c>
      <c r="G270" s="94">
        <f>IFERROR(VLOOKUP($B270,'Aktuelle Einnahmen'!A2:G104,6,0),"")</f>
        <v>0</v>
      </c>
      <c r="H270" s="94">
        <f>IFERROR(VLOOKUP($B270,'Aktuelle Einnahmen'!A2:G104,7,0),"")</f>
        <v>0</v>
      </c>
      <c r="I270" s="186" t="e">
        <f>DATE(H270,G270,F270)</f>
        <v>#NUM!</v>
      </c>
      <c r="J270" s="472">
        <f ca="1">J260</f>
        <v>45475</v>
      </c>
      <c r="K270" s="501" t="str">
        <f t="shared" ref="K270:K333" si="102">K268</f>
        <v>+Inflat.-P</v>
      </c>
      <c r="L270" s="1262" t="str">
        <f>IFERROR(VLOOKUP(B270,'Aktuelle Einnahmen'!A12:I114,9,0),"")</f>
        <v>Auswahl treffen</v>
      </c>
      <c r="M270" s="1263"/>
      <c r="N270" s="261"/>
      <c r="O270" s="261"/>
      <c r="P270" s="261"/>
      <c r="Q270" s="261"/>
      <c r="R270" s="189"/>
      <c r="S270" s="190"/>
      <c r="T270" s="190"/>
      <c r="U270" s="191"/>
      <c r="V270" s="192"/>
      <c r="W270" s="190"/>
      <c r="X270" s="190"/>
      <c r="Y270" s="191"/>
      <c r="Z270" s="192"/>
      <c r="AA270" s="190"/>
      <c r="AB270" s="190"/>
      <c r="AC270" s="191"/>
      <c r="AD270" s="192"/>
      <c r="AE270" s="190"/>
      <c r="AF270" s="190"/>
      <c r="AG270" s="191"/>
      <c r="AH270" s="193"/>
      <c r="AI270" s="190"/>
      <c r="AJ270" s="190"/>
      <c r="AK270" s="374"/>
      <c r="AL270" s="348"/>
      <c r="AM270" s="354"/>
      <c r="AN270" s="354"/>
      <c r="AO270" s="354"/>
      <c r="AP270" s="354"/>
      <c r="AQ270" s="350"/>
      <c r="AR270" s="769"/>
      <c r="AS270" s="769"/>
      <c r="AT270" s="769"/>
      <c r="AW270"/>
      <c r="AX270"/>
      <c r="AY270" s="280"/>
      <c r="AZ270"/>
      <c r="BA270"/>
      <c r="BB270"/>
      <c r="BC270"/>
      <c r="BD270"/>
      <c r="BE270"/>
      <c r="BF270"/>
      <c r="BG270" s="280"/>
      <c r="BH270"/>
      <c r="BI270"/>
      <c r="BJ270"/>
      <c r="BK270"/>
      <c r="BL270"/>
      <c r="BM270"/>
      <c r="BN270"/>
      <c r="BO270"/>
    </row>
    <row r="271" spans="1:67" ht="22.25" customHeight="1">
      <c r="A271" s="181">
        <f t="shared" si="101"/>
        <v>45292</v>
      </c>
      <c r="B271" s="484" t="e">
        <f>DAY(I270)</f>
        <v>#NUM!</v>
      </c>
      <c r="C271" s="489" t="s">
        <v>158</v>
      </c>
      <c r="D271" s="520" t="e">
        <f>(I271*4)+J271/3+1</f>
        <v>#NUM!</v>
      </c>
      <c r="E271" s="194" t="e">
        <f>J273+1</f>
        <v>#NUM!</v>
      </c>
      <c r="F271" s="195" t="e">
        <f t="shared" ref="F271:F278" si="103">DAY(E271)</f>
        <v>#NUM!</v>
      </c>
      <c r="G271" s="196" t="e">
        <f t="shared" ref="G271:G278" si="104">MONTH(E271)</f>
        <v>#NUM!</v>
      </c>
      <c r="H271" s="195" t="e">
        <f t="shared" ref="H271:H278" si="105">YEAR(E271)</f>
        <v>#NUM!</v>
      </c>
      <c r="I271" s="197" t="e">
        <f>H271-(H270+2000)</f>
        <v>#NUM!</v>
      </c>
      <c r="J271" s="198" t="e">
        <f>G271-G270</f>
        <v>#NUM!</v>
      </c>
      <c r="K271" s="506" t="str">
        <f>L269</f>
        <v/>
      </c>
      <c r="L271" s="469"/>
      <c r="M271" s="473" t="e">
        <f ca="1">SUM(J270-E272)&amp;" Tage"</f>
        <v>#NUM!</v>
      </c>
      <c r="N271" s="206"/>
      <c r="O271" s="201"/>
      <c r="P271" s="201"/>
      <c r="Q271" s="202"/>
      <c r="R271" s="189"/>
      <c r="S271" s="203"/>
      <c r="T271" s="203"/>
      <c r="U271" s="204"/>
      <c r="V271" s="192"/>
      <c r="W271" s="203"/>
      <c r="X271" s="203"/>
      <c r="Y271" s="204"/>
      <c r="Z271" s="192"/>
      <c r="AA271" s="203"/>
      <c r="AB271" s="203"/>
      <c r="AC271" s="204"/>
      <c r="AD271" s="192"/>
      <c r="AE271" s="203"/>
      <c r="AF271" s="203"/>
      <c r="AG271" s="204"/>
      <c r="AH271" s="193"/>
      <c r="AI271" s="203"/>
      <c r="AJ271" s="203"/>
      <c r="AK271" s="375"/>
      <c r="AL271" s="348"/>
      <c r="AM271" s="354"/>
      <c r="AN271" s="354"/>
      <c r="AO271" s="354"/>
      <c r="AP271" s="354"/>
      <c r="AQ271" s="350"/>
      <c r="AR271" s="769"/>
      <c r="AS271" s="769"/>
      <c r="AT271" s="769"/>
      <c r="AW271"/>
      <c r="AX271"/>
      <c r="AY271" s="280"/>
      <c r="AZ271"/>
      <c r="BA271"/>
      <c r="BB271"/>
      <c r="BC271"/>
      <c r="BD271"/>
      <c r="BE271"/>
      <c r="BF271"/>
      <c r="BG271" s="280"/>
      <c r="BH271"/>
      <c r="BI271"/>
      <c r="BJ271"/>
      <c r="BK271"/>
      <c r="BL271"/>
      <c r="BM271"/>
      <c r="BN271"/>
      <c r="BO271"/>
    </row>
    <row r="272" spans="1:67" ht="22.25" customHeight="1">
      <c r="A272" s="181">
        <f t="shared" si="101"/>
        <v>45292</v>
      </c>
      <c r="B272" s="485"/>
      <c r="C272" s="490"/>
      <c r="D272" s="521"/>
      <c r="E272" s="194" t="e">
        <f>DATE(YEAR(E271),MONTH(E271)+3,DAY(E271)-1)</f>
        <v>#NUM!</v>
      </c>
      <c r="F272" s="195" t="e">
        <f t="shared" si="103"/>
        <v>#NUM!</v>
      </c>
      <c r="G272" s="196" t="e">
        <f t="shared" si="104"/>
        <v>#NUM!</v>
      </c>
      <c r="H272" s="195" t="e">
        <f t="shared" si="105"/>
        <v>#NUM!</v>
      </c>
      <c r="I272" s="244">
        <v>-1</v>
      </c>
      <c r="J272" s="198" t="e">
        <f>F271-F270</f>
        <v>#NUM!</v>
      </c>
      <c r="K272" s="506" t="str">
        <f t="shared" si="102"/>
        <v>+Inflat.-P</v>
      </c>
      <c r="L272" s="511" t="e">
        <f>IF(M269="Stufe A",IF(AND(L270="Auswahl treffen",D271&gt;=0,D271&lt;=1000),J269,IF(AND(L270="Vermögend und ambulant",D271&gt;8,D271&lt;=1000),130,IF(AND(L270="Vermögend und ambulant",D271&gt;4,D271&lt;=8),158,IF(AND(L270="Vermögend und ambulant",D271&gt;2,D271&lt;=4),192,IF(AND(L270="Vermögend und ambulant",D271&gt;1,D271&lt;=2),208,IF(AND(L270="Vermögend und ambulant",D271&gt;0,D271&lt;=1),298,IF(AND(L270="Vermögend und stationär",D271&gt;8,D271&lt;=1000),78,IF(AND(L270="Vermögend und stationär",D271&gt;4,D271&lt;=8),91,IF(AND(L270="Vermögend und stationär",D271&gt;2,D271&lt;=4),140,IF(AND(L270="Vermögend und stationär",D271&gt;1,D271&lt;=2),158,IF(AND(L270="Vermögend und stationär",D271&gt;0,D271&lt;=1),200,IF(AND(L270="Mittellos und ambulant",D271&gt;8,D271&lt;=1000),105,IF(AND(L270="Mittellos und ambulant",D271&gt;4,D271&lt;=8),122,IF(AND(L270="Mittellos und ambulant",D271&gt;2,D271&lt;=4),151,IF(AND(L270="Mittellos und ambulant",D271&gt;1,D271&lt;=2),170,IF(AND(L270="Mittellos und ambulant",D271&gt;0,D271&lt;=1),208,IF(AND(L270="Mittellos und stationär",D271&gt;8,D271&lt;=1000),62,IF(AND(L270="Mittellos und stationär",D271&gt;4,D271&lt;=8),87,IF(AND(L270="Mittellos und stationär",D271&gt;2,D271&lt;=4),124,IF(AND(L270="Mittellos und stationär",D271&gt;1,D271&lt;=2),129,IF(AND(L270="Mittellos und stationär",D271&gt;0,D271&lt;=1),194,""))))))))))))))))))))),IF(M269="Stufe B",IF(AND(L270="Auswahl treffen",D271&gt;=0,D271&lt;=1000),J269,IF(AND(L270="Vermögend und ambulant",D271&gt;8,D271&lt;=1000),161,IF(AND(L270="Vermögend und ambulant",D271&gt;4,D271&lt;=8),196,IF(AND(L270="Vermögend und ambulant",D271&gt;2,D271&lt;=4),238,IF(AND(L270="Vermögend und ambulant",D271&gt;1,D271&lt;=2),258,IF(AND(L270="Vermögend und ambulant",D271&gt;0,D271&lt;=1),370,IF(AND(L270="Vermögend und stationär",D271&gt;8,D271&lt;=1000),96,IF(AND(L270="Vermögend und stationär",D271&gt;4,D271&lt;=8),113,IF(AND(L270="Vermögend und stationär",D271&gt;2,D271&lt;=4),174,IF(AND(L270="Vermögend und stationär",D271&gt;1,D271&lt;=2),196,IF(AND(L270="Vermögend und stationär",D271&gt;0,D271&lt;=1),249,IF(AND(L270="Mittellos und ambulant",D271&gt;8,D271&lt;=1000),130,IF(AND(L270="Mittellos und ambulant",D271&gt;4,D271&lt;=8),151,IF(AND(L270="Mittellos und ambulant",D271&gt;2,D271&lt;=4),188,IF(AND(L270="Mittellos und ambulant",D271&gt;1,D271&lt;=2),211,IF(AND(L270="Mittellos und ambulant",D271&gt;0,D271&lt;=1),258,IF(AND(L270="Mittellos und stationär",D271&gt;8,D271&lt;=1000),78,IF(AND(L270="Mittellos und stationär",D271&gt;4,D271&lt;=8),107,IF(AND(L270="Mittellos und stationär",D271&gt;2,D271&lt;=4),154,IF(AND(L270="Mittellos und stationär",D271&gt;1,D271&lt;=2),158,IF(AND(L270="Mittellos und stationär",D271&gt;0,D271&lt;=1),241,""))))))))))))))))))))),IF(M269="Stufe C",IF(AND(L270="Auswahl treffen",D271&gt;=0,D271&lt;=1000),J269,IF(AND(L270="Vermögend und ambulant",D271&gt;8,D271&lt;=1000),211,IF(AND(L270="Vermögend und ambulant",D271&gt;4,D271&lt;=8),257,IF(AND(L270="Vermögend und ambulant",D271&gt;2,D271&lt;=4),312,IF(AND(L270="Vermögend und ambulant",D271&gt;1,D271&lt;=2),339,IF(AND(L270="Vermögend und ambulant",D271&gt;0,D271&lt;=1),486,IF(AND(L270="Vermögend und stationär",D271&gt;8,D271&lt;=1000),127,IF(AND(L270="Vermögend und stationär",D271&gt;4,D271&lt;=8),149,IF(AND(L270="Vermögend und stationär",D271&gt;2,D271&lt;=4),229,IF(AND(L270="Vermögend und stationär",D271&gt;1,D271&lt;=2),257,IF(AND(L270="Vermögend und stationär",D271&gt;0,D271&lt;=1),327,IF(AND(L270="Mittellos und ambulant",D271&gt;8,D271&lt;=1000),171,IF(AND(L270="Mittellos und ambulant",D271&gt;4,D271&lt;=8),198,IF(AND(L270="Mittellos und ambulant",D271&gt;2,D271&lt;=4),246,IF(AND(L270="Mittellos und ambulant",D271&gt;1,D271&lt;=2),277,IF(AND(L270="Mittellos und ambulant",D271&gt;0,D271&lt;=1),339,IF(AND(L270="Mittellos und stationär",D271&gt;8,D271&lt;=1000),102,IF(AND(L270="Mittellos und stationär",D271&gt;4,D271&lt;=8),141,IF(AND(L270="Mittellos und stationär",D271&gt;2,D271&lt;=4),202,IF(AND(L270="Mittellos und stationär",D271&gt;1,D271&lt;=2),208,IF(AND(L270="Mittellos und stationär",D271&gt;0,D271&lt;=1),317,""))))))))))))))))))))),"")))*3+(J269*90)</f>
        <v>#NUM!</v>
      </c>
      <c r="M272" s="507" t="str">
        <f>CONCATENATE(K272, K271)</f>
        <v>+Inflat.-P</v>
      </c>
      <c r="N272" s="206" t="s">
        <v>118</v>
      </c>
      <c r="O272" s="207"/>
      <c r="P272" s="207"/>
      <c r="Q272" s="208"/>
      <c r="R272" s="187"/>
      <c r="S272" s="209" t="s">
        <v>118</v>
      </c>
      <c r="T272" s="201" t="s">
        <v>117</v>
      </c>
      <c r="U272" s="210" t="s">
        <v>26</v>
      </c>
      <c r="V272" s="192"/>
      <c r="W272" s="203"/>
      <c r="X272" s="203"/>
      <c r="Y272" s="210"/>
      <c r="Z272" s="192"/>
      <c r="AA272" s="203"/>
      <c r="AB272" s="203"/>
      <c r="AC272" s="210"/>
      <c r="AD272" s="192"/>
      <c r="AE272" s="203"/>
      <c r="AF272" s="203"/>
      <c r="AG272" s="210"/>
      <c r="AH272" s="193"/>
      <c r="AI272" s="203"/>
      <c r="AJ272" s="203"/>
      <c r="AK272" s="376"/>
      <c r="AL272" s="348" t="s">
        <v>148</v>
      </c>
      <c r="AM272" s="354">
        <f>IF(SUM(N270:N278)=SUM(S270:S278), 0, SUM(N270:N278)-SUM(S270:S278))</f>
        <v>0</v>
      </c>
      <c r="AN272" s="354"/>
      <c r="AO272" s="354"/>
      <c r="AP272" s="354"/>
      <c r="AQ272" s="350">
        <f>AM272+AN272+AO272+AP272</f>
        <v>0</v>
      </c>
      <c r="AR272" s="769"/>
      <c r="AS272" s="769"/>
      <c r="AT272" s="769"/>
      <c r="AW272"/>
      <c r="AX272"/>
      <c r="AY272" s="280"/>
      <c r="AZ272"/>
      <c r="BA272"/>
      <c r="BB272"/>
      <c r="BC272"/>
      <c r="BD272"/>
      <c r="BE272"/>
      <c r="BF272"/>
      <c r="BG272" s="280"/>
      <c r="BH272"/>
      <c r="BI272"/>
      <c r="BJ272"/>
      <c r="BK272"/>
      <c r="BL272"/>
      <c r="BM272"/>
      <c r="BN272"/>
      <c r="BO272"/>
    </row>
    <row r="273" spans="1:67" ht="22.25" customHeight="1">
      <c r="A273" s="181">
        <f t="shared" si="101"/>
        <v>45292</v>
      </c>
      <c r="B273" s="484" t="e">
        <f>MONTH(I270)</f>
        <v>#NUM!</v>
      </c>
      <c r="C273" s="489" t="s">
        <v>158</v>
      </c>
      <c r="D273" s="522" t="e">
        <f>D271+1</f>
        <v>#NUM!</v>
      </c>
      <c r="E273" s="211" t="e">
        <f>DATE(YEAR(E272),MONTH(E272),DAY(E272)+1)</f>
        <v>#NUM!</v>
      </c>
      <c r="F273" s="212" t="e">
        <f t="shared" si="103"/>
        <v>#NUM!</v>
      </c>
      <c r="G273" s="213" t="e">
        <f t="shared" si="104"/>
        <v>#NUM!</v>
      </c>
      <c r="H273" s="212" t="e">
        <f t="shared" si="105"/>
        <v>#NUM!</v>
      </c>
      <c r="I273" s="214" t="str">
        <f>IF(D270&lt;&gt;0,"-1T","")</f>
        <v/>
      </c>
      <c r="J273" s="215" t="e">
        <f>DATE($B275,I274,$B271)</f>
        <v>#NUM!</v>
      </c>
      <c r="K273" s="501" t="str">
        <f t="shared" si="102"/>
        <v/>
      </c>
      <c r="L273" s="470"/>
      <c r="M273" s="473" t="e">
        <f ca="1">SUM(J270-E274)&amp;" Tage"</f>
        <v>#NUM!</v>
      </c>
      <c r="N273" s="216"/>
      <c r="O273" s="217"/>
      <c r="P273" s="188"/>
      <c r="Q273" s="217"/>
      <c r="R273" s="189"/>
      <c r="S273" s="190"/>
      <c r="T273" s="190"/>
      <c r="U273" s="191"/>
      <c r="V273" s="192"/>
      <c r="W273" s="190"/>
      <c r="X273" s="190"/>
      <c r="Y273" s="191"/>
      <c r="Z273" s="192"/>
      <c r="AA273" s="190"/>
      <c r="AB273" s="190"/>
      <c r="AC273" s="191"/>
      <c r="AD273" s="192"/>
      <c r="AE273" s="190"/>
      <c r="AF273" s="190"/>
      <c r="AG273" s="191"/>
      <c r="AH273" s="193"/>
      <c r="AI273" s="190"/>
      <c r="AJ273" s="190"/>
      <c r="AK273" s="374"/>
      <c r="AL273" s="348"/>
      <c r="AM273" s="354"/>
      <c r="AN273" s="354"/>
      <c r="AO273" s="354"/>
      <c r="AP273" s="354"/>
      <c r="AQ273" s="350"/>
      <c r="AR273" s="769"/>
      <c r="AS273" s="769"/>
      <c r="AT273" s="769"/>
      <c r="AW273"/>
      <c r="AX273"/>
      <c r="AY273" s="280"/>
      <c r="AZ273"/>
      <c r="BA273"/>
      <c r="BB273"/>
      <c r="BC273"/>
      <c r="BD273"/>
      <c r="BE273"/>
      <c r="BF273"/>
      <c r="BG273" s="280"/>
      <c r="BH273"/>
      <c r="BI273"/>
      <c r="BJ273"/>
      <c r="BK273"/>
      <c r="BL273"/>
      <c r="BM273"/>
      <c r="BN273"/>
      <c r="BO273"/>
    </row>
    <row r="274" spans="1:67" ht="22.25" customHeight="1">
      <c r="A274" s="181">
        <f t="shared" si="101"/>
        <v>45292</v>
      </c>
      <c r="B274" s="485"/>
      <c r="C274" s="490"/>
      <c r="D274" s="521"/>
      <c r="E274" s="218" t="e">
        <f>DATE(YEAR(E273),MONTH(E273)+3,DAY(E273)-1)</f>
        <v>#NUM!</v>
      </c>
      <c r="F274" s="212" t="e">
        <f t="shared" si="103"/>
        <v>#NUM!</v>
      </c>
      <c r="G274" s="213" t="e">
        <f t="shared" si="104"/>
        <v>#NUM!</v>
      </c>
      <c r="H274" s="212" t="e">
        <f t="shared" si="105"/>
        <v>#NUM!</v>
      </c>
      <c r="I274" s="219">
        <f>MAX(I275:I278)</f>
        <v>9</v>
      </c>
      <c r="J274" s="220" t="e">
        <f>DATE(YEAR(J273)+1,MONTH(J273),DAY(J273))</f>
        <v>#NUM!</v>
      </c>
      <c r="K274" s="506" t="str">
        <f t="shared" si="102"/>
        <v>+Inflat.-P</v>
      </c>
      <c r="L274" s="508" t="e">
        <f>IF(M269="Stufe A",IF(AND(L270="Auswahl treffen",D273&gt;=0,D273&lt;=1000),J269,IF(AND(L270="Vermögend und ambulant",D273&gt;8,D273&lt;=1000),130,IF(AND(L270="Vermögend und ambulant",D273&gt;4,D273&lt;=8),158,IF(AND(L270="Vermögend und ambulant",D273&gt;2,D273&lt;=4),192,IF(AND(L270="Vermögend und ambulant",D273&gt;1,D273&lt;=2),208,IF(AND(L270="Vermögend und ambulant",D273&gt;0,D273&lt;=1),298,IF(AND(L270="Vermögend und stationär",D273&gt;8,D273&lt;=1000),78,IF(AND(L270="Vermögend und stationär",D273&gt;4,D273&lt;=8),91,IF(AND(L270="Vermögend und stationär",D273&gt;2,D273&lt;=4),140,IF(AND(L270="Vermögend und stationär",D273&gt;1,D273&lt;=2),158,IF(AND(L270="Vermögend und stationär",D273&gt;0,D273&lt;=1),200,IF(AND(L270="Mittellos und ambulant",D273&gt;8,D273&lt;=1000),105,IF(AND(L270="Mittellos und ambulant",D273&gt;4,D273&lt;=8),122,IF(AND(L270="Mittellos und ambulant",D273&gt;2,D273&lt;=4),151,IF(AND(L270="Mittellos und ambulant",D273&gt;1,D273&lt;=2),170,IF(AND(L270="Mittellos und ambulant",D273&gt;0,D273&lt;=1),208,IF(AND(L270="Mittellos und stationär",D273&gt;8,D273&lt;=1000),62,IF(AND(L270="Mittellos und stationär",D273&gt;4,D273&lt;=8),87,IF(AND(L270="Mittellos und stationär",D273&gt;2,D273&lt;=4),124,IF(AND(L270="Mittellos und stationär",D273&gt;1,D273&lt;=2),129,IF(AND(L270="Mittellos und stationär",D273&gt;0,D273&lt;=1),194,""))))))))))))))))))))),IF(M269="Stufe B",IF(AND(L270="Auswahl treffen",D273&gt;=0,D273&lt;=1000),J269,IF(AND(L270="Vermögend und ambulant",D273&gt;8,D273&lt;=1000),161,IF(AND(L270="Vermögend und ambulant",D273&gt;4,D273&lt;=8),196,IF(AND(L270="Vermögend und ambulant",D273&gt;2,D273&lt;=4),238,IF(AND(L270="Vermögend und ambulant",D273&gt;1,D273&lt;=2),258,IF(AND(L270="Vermögend und ambulant",D273&gt;0,D273&lt;=1),370,IF(AND(L270="Vermögend und stationär",D273&gt;8,D273&lt;=1000),96,IF(AND(L270="Vermögend und stationär",D273&gt;4,D273&lt;=8),113,IF(AND(L270="Vermögend und stationär",D273&gt;2,D273&lt;=4),174,IF(AND(L270="Vermögend und stationär",D273&gt;1,D273&lt;=2),196,IF(AND(L270="Vermögend und stationär",D273&gt;0,D273&lt;=1),249,IF(AND(L270="Mittellos und ambulant",D273&gt;8,D273&lt;=1000),130,IF(AND(L270="Mittellos und ambulant",D273&gt;4,D273&lt;=8),151,IF(AND(L270="Mittellos und ambulant",D273&gt;2,D273&lt;=4),188,IF(AND(L270="Mittellos und ambulant",D273&gt;1,D273&lt;=2),211,IF(AND(L270="Mittellos und ambulant",D273&gt;0,D273&lt;=1),258,IF(AND(L270="Mittellos und stationär",D273&gt;8,D273&lt;=1000),78,IF(AND(L270="Mittellos und stationär",D273&gt;4,D273&lt;=8),107,IF(AND(L270="Mittellos und stationär",D273&gt;2,D273&lt;=4),154,IF(AND(L270="Mittellos und stationär",D273&gt;1,D273&lt;=2),158,IF(AND(L270="Mittellos und stationär",D273&gt;0,D273&lt;=1),241,""))))))))))))))))))))),IF(M269="Stufe C",IF(AND(L270="Auswahl treffen",D273&gt;=0,D273&lt;=1000),J269,IF(AND(L270="Vermögend und ambulant",D273&gt;8,D273&lt;=1000),211,IF(AND(L270="Vermögend und ambulant",D273&gt;4,D273&lt;=8),257,IF(AND(L270="Vermögend und ambulant",D273&gt;2,D273&lt;=4),312,IF(AND(L270="Vermögend und ambulant",D273&gt;1,D273&lt;=2),339,IF(AND(L270="Vermögend und ambulant",D273&gt;0,D273&lt;=1),486,IF(AND(L270="Vermögend und stationär",D273&gt;8,D273&lt;=1000),127,IF(AND(L270="Vermögend und stationär",D273&gt;4,D273&lt;=8),149,IF(AND(L270="Vermögend und stationär",D273&gt;2,D273&lt;=4),229,IF(AND(L270="Vermögend und stationär",D273&gt;1,D273&lt;=2),257,IF(AND(L270="Vermögend und stationär",D273&gt;0,D273&lt;=1),327,IF(AND(L270="Mittellos und ambulant",D273&gt;8,D273&lt;=1000),171,IF(AND(L270="Mittellos und ambulant",D273&gt;4,D273&lt;=8),198,IF(AND(L270="Mittellos und ambulant",D273&gt;2,D273&lt;=4),246,IF(AND(L270="Mittellos und ambulant",D273&gt;1,D273&lt;=2),277,IF(AND(L270="Mittellos und ambulant",D273&gt;0,D273&lt;=1),339,IF(AND(L270="Mittellos und stationär",D273&gt;8,D273&lt;=1000),102,IF(AND(L270="Mittellos und stationär",D273&gt;4,D273&lt;=8),141,IF(AND(L270="Mittellos und stationär",D273&gt;2,D273&lt;=4),202,IF(AND(L270="Mittellos und stationär",D273&gt;1,D273&lt;=2),208,IF(AND(L270="Mittellos und stationär",D273&gt;0,D273&lt;=1),317,""))))))))))))))))))))),"")))*3+(J269*90)</f>
        <v>#NUM!</v>
      </c>
      <c r="M274" s="507" t="str">
        <f>CONCATENATE(K274, K273)</f>
        <v>+Inflat.-P</v>
      </c>
      <c r="N274" s="216"/>
      <c r="O274" s="188" t="s">
        <v>118</v>
      </c>
      <c r="P274" s="188"/>
      <c r="Q274" s="221"/>
      <c r="R274" s="199"/>
      <c r="S274" s="190"/>
      <c r="T274" s="190"/>
      <c r="U274" s="191"/>
      <c r="V274" s="192"/>
      <c r="W274" s="222" t="s">
        <v>118</v>
      </c>
      <c r="X274" s="222" t="s">
        <v>117</v>
      </c>
      <c r="Y274" s="191" t="s">
        <v>26</v>
      </c>
      <c r="Z274" s="192"/>
      <c r="AA274" s="190"/>
      <c r="AB274" s="190"/>
      <c r="AC274" s="191"/>
      <c r="AD274" s="192"/>
      <c r="AE274" s="190"/>
      <c r="AF274" s="190"/>
      <c r="AG274" s="191"/>
      <c r="AH274" s="193"/>
      <c r="AI274" s="190"/>
      <c r="AJ274" s="190"/>
      <c r="AK274" s="374"/>
      <c r="AL274" s="348" t="s">
        <v>149</v>
      </c>
      <c r="AM274" s="354"/>
      <c r="AN274" s="354">
        <f>IF(SUM(O270:O278)=SUM(W270:W278), 0, SUM(O270:O278)-SUM(W270:W278))</f>
        <v>0</v>
      </c>
      <c r="AO274" s="354"/>
      <c r="AP274" s="354"/>
      <c r="AQ274" s="350">
        <f>AM274+AN274+AO274+AP274</f>
        <v>0</v>
      </c>
      <c r="AR274" s="769"/>
      <c r="AS274" s="769"/>
      <c r="AT274" s="769"/>
      <c r="AW274"/>
      <c r="AX274"/>
      <c r="AY274" s="280"/>
      <c r="AZ274"/>
      <c r="BA274"/>
      <c r="BB274"/>
      <c r="BC274"/>
      <c r="BD274"/>
      <c r="BE274"/>
      <c r="BF274"/>
      <c r="BG274" s="280"/>
      <c r="BH274"/>
      <c r="BI274"/>
      <c r="BJ274"/>
      <c r="BK274"/>
      <c r="BL274"/>
      <c r="BM274"/>
      <c r="BN274"/>
      <c r="BO274"/>
    </row>
    <row r="275" spans="1:67" ht="22.25" customHeight="1">
      <c r="A275" s="181">
        <f t="shared" si="101"/>
        <v>45292</v>
      </c>
      <c r="B275" s="484">
        <f>YEAR($A276)-1</f>
        <v>2023</v>
      </c>
      <c r="C275" s="489" t="s">
        <v>158</v>
      </c>
      <c r="D275" s="520" t="e">
        <f>D273+1</f>
        <v>#NUM!</v>
      </c>
      <c r="E275" s="194" t="e">
        <f>DATE(YEAR(E274),MONTH(E274),DAY(E274)+1)</f>
        <v>#NUM!</v>
      </c>
      <c r="F275" s="195" t="e">
        <f t="shared" si="103"/>
        <v>#NUM!</v>
      </c>
      <c r="G275" s="196" t="e">
        <f t="shared" si="104"/>
        <v>#NUM!</v>
      </c>
      <c r="H275" s="195" t="e">
        <f t="shared" si="105"/>
        <v>#NUM!</v>
      </c>
      <c r="I275" s="197">
        <f>IF(J277&lt;13,J277,"")</f>
        <v>9</v>
      </c>
      <c r="J275" s="224">
        <f>G270</f>
        <v>0</v>
      </c>
      <c r="K275" s="501" t="str">
        <f t="shared" si="102"/>
        <v/>
      </c>
      <c r="L275" s="471"/>
      <c r="M275" s="473" t="e">
        <f ca="1">SUM(J270-E276)&amp;" Tage"</f>
        <v>#NUM!</v>
      </c>
      <c r="N275" s="200"/>
      <c r="O275" s="201"/>
      <c r="P275" s="201"/>
      <c r="Q275" s="202"/>
      <c r="R275" s="189"/>
      <c r="S275" s="203"/>
      <c r="T275" s="203"/>
      <c r="U275" s="204"/>
      <c r="V275" s="192"/>
      <c r="W275" s="203"/>
      <c r="X275" s="203"/>
      <c r="Y275" s="204"/>
      <c r="Z275" s="192"/>
      <c r="AA275" s="203"/>
      <c r="AB275" s="203"/>
      <c r="AC275" s="204"/>
      <c r="AD275" s="192"/>
      <c r="AE275" s="203"/>
      <c r="AF275" s="203"/>
      <c r="AG275" s="204"/>
      <c r="AH275" s="193"/>
      <c r="AI275" s="203"/>
      <c r="AJ275" s="203"/>
      <c r="AK275" s="375"/>
      <c r="AL275" s="348"/>
      <c r="AM275" s="354"/>
      <c r="AN275" s="354"/>
      <c r="AO275" s="354"/>
      <c r="AP275" s="354"/>
      <c r="AQ275" s="350"/>
      <c r="AR275" s="769"/>
      <c r="AS275" s="769"/>
      <c r="AT275" s="769"/>
      <c r="AW275"/>
      <c r="AX275"/>
      <c r="AY275" s="280"/>
      <c r="AZ275"/>
      <c r="BA275"/>
      <c r="BB275"/>
      <c r="BC275"/>
      <c r="BD275"/>
      <c r="BE275"/>
      <c r="BF275"/>
      <c r="BG275" s="280"/>
      <c r="BH275"/>
      <c r="BI275"/>
      <c r="BJ275"/>
      <c r="BK275"/>
      <c r="BL275"/>
      <c r="BM275"/>
      <c r="BN275"/>
      <c r="BO275"/>
    </row>
    <row r="276" spans="1:67" ht="22.25" customHeight="1">
      <c r="A276" s="181">
        <f t="shared" si="101"/>
        <v>45292</v>
      </c>
      <c r="B276" s="485"/>
      <c r="C276" s="490"/>
      <c r="D276" s="521"/>
      <c r="E276" s="194" t="e">
        <f>DATE(YEAR(E275),MONTH(E275)+3,DAY(E275)-1)</f>
        <v>#NUM!</v>
      </c>
      <c r="F276" s="195" t="e">
        <f t="shared" si="103"/>
        <v>#NUM!</v>
      </c>
      <c r="G276" s="196" t="e">
        <f t="shared" si="104"/>
        <v>#NUM!</v>
      </c>
      <c r="H276" s="195" t="e">
        <f t="shared" si="105"/>
        <v>#NUM!</v>
      </c>
      <c r="I276" s="244">
        <f>IF(J278&lt;13,J278,"")</f>
        <v>6</v>
      </c>
      <c r="J276" s="224">
        <f>J275+3</f>
        <v>3</v>
      </c>
      <c r="K276" s="506" t="str">
        <f t="shared" si="102"/>
        <v>+Inflat.-P</v>
      </c>
      <c r="L276" s="511" t="e">
        <f>IF(M269="Stufe A",IF(AND(L270="Auswahl treffen",D275&gt;=0,D275&lt;=1000),J269,IF(AND(L270="Vermögend und ambulant",D275&gt;8,D275&lt;=1000),130,IF(AND(L270="Vermögend und ambulant",D275&gt;4,D275&lt;=8),158,IF(AND(L270="Vermögend und ambulant",D275&gt;2,D275&lt;=4),192,IF(AND(L270="Vermögend und ambulant",D275&gt;1,D275&lt;=2),208,IF(AND(L270="Vermögend und ambulant",D275&gt;0,D275&lt;=1),298,IF(AND(L270="Vermögend und stationär",D275&gt;8,D275&lt;=1000),78,IF(AND(L270="Vermögend und stationär",D275&gt;4,D275&lt;=8),91,IF(AND(L270="Vermögend und stationär",D275&gt;2,D275&lt;=4),140,IF(AND(L270="Vermögend und stationär",D275&gt;1,D275&lt;=2),158,IF(AND(L270="Vermögend und stationär",D275&gt;0,D275&lt;=1),200,IF(AND(L270="Mittellos und ambulant",D275&gt;8,D275&lt;=1000),105,IF(AND(L270="Mittellos und ambulant",D275&gt;4,D275&lt;=8),122,IF(AND(L270="Mittellos und ambulant",D275&gt;2,D275&lt;=4),151,IF(AND(L270="Mittellos und ambulant",D275&gt;1,D275&lt;=2),170,IF(AND(L270="Mittellos und ambulant",D275&gt;0,D275&lt;=1),208,IF(AND(L270="Mittellos und stationär",D275&gt;8,D275&lt;=1000),62,IF(AND(L270="Mittellos und stationär",D275&gt;4,D275&lt;=8),87,IF(AND(L270="Mittellos und stationär",D275&gt;2,D275&lt;=4),124,IF(AND(L270="Mittellos und stationär",D275&gt;1,D275&lt;=2),129,IF(AND(L270="Mittellos und stationär",D275&gt;0,D275&lt;=1),194,""))))))))))))))))))))),IF(M269="Stufe B",IF(AND(L270="Auswahl treffen",D275&gt;=0,D275&lt;=1000),J269,IF(AND(L270="Vermögend und ambulant",D275&gt;8,D275&lt;=1000),161,IF(AND(L270="Vermögend und ambulant",D275&gt;4,D275&lt;=8),196,IF(AND(L270="Vermögend und ambulant",D275&gt;2,D275&lt;=4),238,IF(AND(L270="Vermögend und ambulant",D275&gt;1,D275&lt;=2),258,IF(AND(L270="Vermögend und ambulant",D275&gt;0,D275&lt;=1),370,IF(AND(L270="Vermögend und stationär",D275&gt;8,D275&lt;=1000),96,IF(AND(L270="Vermögend und stationär",D275&gt;4,D275&lt;=8),113,IF(AND(L270="Vermögend und stationär",D275&gt;2,D275&lt;=4),174,IF(AND(L270="Vermögend und stationär",D275&gt;1,D275&lt;=2),196,IF(AND(L270="Vermögend und stationär",D275&gt;0,D275&lt;=1),249,IF(AND(L270="Mittellos und ambulant",D275&gt;8,D275&lt;=1000),130,IF(AND(L270="Mittellos und ambulant",D275&gt;4,D275&lt;=8),151,IF(AND(L270="Mittellos und ambulant",D275&gt;2,D275&lt;=4),188,IF(AND(L270="Mittellos und ambulant",D275&gt;1,D275&lt;=2),211,IF(AND(L270="Mittellos und ambulant",D275&gt;0,D275&lt;=1),258,IF(AND(L270="Mittellos und stationär",D275&gt;8,D275&lt;=1000),78,IF(AND(L270="Mittellos und stationär",D275&gt;4,D275&lt;=8),107,IF(AND(L270="Mittellos und stationär",D275&gt;2,D275&lt;=4),154,IF(AND(L270="Mittellos und stationär",D275&gt;1,D275&lt;=2),158,IF(AND(L270="Mittellos und stationär",D275&gt;0,D275&lt;=1),241,""))))))))))))))))))))),IF(M269="Stufe C",IF(AND(L270="Auswahl treffen",D275&gt;=0,D275&lt;=1000),J269,IF(AND(L270="Vermögend und ambulant",D275&gt;8,D275&lt;=1000),211,IF(AND(L270="Vermögend und ambulant",D275&gt;4,D275&lt;=8),257,IF(AND(L270="Vermögend und ambulant",D275&gt;2,D275&lt;=4),312,IF(AND(L270="Vermögend und ambulant",D275&gt;1,D275&lt;=2),339,IF(AND(L270="Vermögend und ambulant",D275&gt;0,D275&lt;=1),486,IF(AND(L270="Vermögend und stationär",D275&gt;8,D275&lt;=1000),127,IF(AND(L270="Vermögend und stationär",D275&gt;4,D275&lt;=8),149,IF(AND(L270="Vermögend und stationär",D275&gt;2,D275&lt;=4),229,IF(AND(L270="Vermögend und stationär",D275&gt;1,D275&lt;=2),257,IF(AND(L270="Vermögend und stationär",D275&gt;0,D275&lt;=1),327,IF(AND(L270="Mittellos und ambulant",D275&gt;8,D275&lt;=1000),171,IF(AND(L270="Mittellos und ambulant",D275&gt;4,D275&lt;=8),198,IF(AND(L270="Mittellos und ambulant",D275&gt;2,D275&lt;=4),246,IF(AND(L270="Mittellos und ambulant",D275&gt;1,D275&lt;=2),277,IF(AND(L270="Mittellos und ambulant",D275&gt;0,D275&lt;=1),339,IF(AND(L270="Mittellos und stationär",D275&gt;8,D275&lt;=1000),102,IF(AND(L270="Mittellos und stationär",D275&gt;4,D275&lt;=8),141,IF(AND(L270="Mittellos und stationär",D275&gt;2,D275&lt;=4),202,IF(AND(L270="Mittellos und stationär",D275&gt;1,D275&lt;=2),208,IF(AND(L270="Mittellos und stationär",D275&gt;0,D275&lt;=1),317,""))))))))))))))))))))),"")))*3+(J269*90)</f>
        <v>#NUM!</v>
      </c>
      <c r="M276" s="507" t="str">
        <f>CONCATENATE(K276, K275)</f>
        <v>+Inflat.-P</v>
      </c>
      <c r="N276" s="206"/>
      <c r="O276" s="207"/>
      <c r="P276" s="206" t="s">
        <v>118</v>
      </c>
      <c r="Q276" s="226"/>
      <c r="R276" s="189"/>
      <c r="S276" s="203"/>
      <c r="T276" s="203"/>
      <c r="U276" s="204"/>
      <c r="V276" s="192"/>
      <c r="W276" s="203"/>
      <c r="X276" s="203"/>
      <c r="Y276" s="204"/>
      <c r="Z276" s="192"/>
      <c r="AA276" s="209" t="s">
        <v>118</v>
      </c>
      <c r="AB276" s="209" t="s">
        <v>117</v>
      </c>
      <c r="AC276" s="204" t="s">
        <v>26</v>
      </c>
      <c r="AD276" s="192"/>
      <c r="AE276" s="203"/>
      <c r="AF276" s="203"/>
      <c r="AG276" s="204"/>
      <c r="AH276" s="193"/>
      <c r="AI276" s="203"/>
      <c r="AJ276" s="203"/>
      <c r="AK276" s="375"/>
      <c r="AL276" s="348" t="s">
        <v>150</v>
      </c>
      <c r="AM276" s="354"/>
      <c r="AN276" s="354"/>
      <c r="AO276" s="354">
        <f>IF(SUM(P270:P278)=SUM(AA270:AA278), 0, SUM(P270:P278)-SUM(AA270:AA278))</f>
        <v>0</v>
      </c>
      <c r="AP276" s="354"/>
      <c r="AQ276" s="350">
        <f>AM276+AN276+AO276+AP276</f>
        <v>0</v>
      </c>
      <c r="AR276" s="769"/>
      <c r="AS276" s="769"/>
      <c r="AT276" s="769"/>
      <c r="AW276"/>
      <c r="AX276"/>
      <c r="AY276" s="280"/>
      <c r="AZ276"/>
      <c r="BA276"/>
      <c r="BB276"/>
      <c r="BC276"/>
      <c r="BD276"/>
      <c r="BE276"/>
      <c r="BF276"/>
      <c r="BG276" s="280"/>
      <c r="BH276"/>
      <c r="BI276"/>
      <c r="BJ276"/>
      <c r="BK276"/>
      <c r="BL276"/>
      <c r="BM276"/>
      <c r="BN276"/>
      <c r="BO276"/>
    </row>
    <row r="277" spans="1:67" ht="22.25" customHeight="1">
      <c r="A277" s="181">
        <f t="shared" si="101"/>
        <v>45292</v>
      </c>
      <c r="B277" s="486"/>
      <c r="C277" s="489" t="s">
        <v>158</v>
      </c>
      <c r="D277" s="522" t="e">
        <f>D275+1</f>
        <v>#NUM!</v>
      </c>
      <c r="E277" s="211" t="e">
        <f>DATE(YEAR(E276),MONTH(E276),DAY(E276)+1)</f>
        <v>#NUM!</v>
      </c>
      <c r="F277" s="227" t="e">
        <f t="shared" si="103"/>
        <v>#NUM!</v>
      </c>
      <c r="G277" s="228" t="e">
        <f t="shared" si="104"/>
        <v>#NUM!</v>
      </c>
      <c r="H277" s="227" t="e">
        <f t="shared" si="105"/>
        <v>#NUM!</v>
      </c>
      <c r="I277" s="231">
        <f>IF(J276&lt;13,J276,"")</f>
        <v>3</v>
      </c>
      <c r="J277" s="230">
        <f>J278+3</f>
        <v>9</v>
      </c>
      <c r="K277" s="501" t="str">
        <f t="shared" si="102"/>
        <v/>
      </c>
      <c r="L277" s="471"/>
      <c r="M277" s="473" t="e">
        <f ca="1">SUM(J270-E278)&amp;" Tage"</f>
        <v>#NUM!</v>
      </c>
      <c r="N277" s="216"/>
      <c r="O277" s="188"/>
      <c r="P277" s="188"/>
      <c r="Q277" s="217"/>
      <c r="R277" s="189"/>
      <c r="S277" s="190"/>
      <c r="T277" s="190"/>
      <c r="U277" s="191"/>
      <c r="V277" s="192"/>
      <c r="W277" s="190"/>
      <c r="X277" s="190"/>
      <c r="Y277" s="191"/>
      <c r="Z277" s="192"/>
      <c r="AA277" s="190"/>
      <c r="AB277" s="190"/>
      <c r="AC277" s="191"/>
      <c r="AD277" s="192"/>
      <c r="AE277" s="190"/>
      <c r="AF277" s="190"/>
      <c r="AG277" s="191"/>
      <c r="AH277" s="193"/>
      <c r="AI277" s="190"/>
      <c r="AJ277" s="190"/>
      <c r="AK277" s="374"/>
      <c r="AL277" s="348"/>
      <c r="AM277" s="354"/>
      <c r="AN277" s="354"/>
      <c r="AO277" s="354"/>
      <c r="AP277" s="354"/>
      <c r="AQ277" s="350"/>
      <c r="AR277" s="769"/>
      <c r="AS277" s="769"/>
      <c r="AT277" s="769"/>
      <c r="AW277"/>
      <c r="AX277"/>
      <c r="AY277" s="280"/>
      <c r="AZ277"/>
      <c r="BA277"/>
      <c r="BB277"/>
      <c r="BC277"/>
      <c r="BD277"/>
      <c r="BE277"/>
      <c r="BF277"/>
      <c r="BG277" s="280"/>
      <c r="BH277"/>
      <c r="BI277"/>
      <c r="BJ277"/>
      <c r="BK277"/>
      <c r="BL277"/>
      <c r="BM277"/>
      <c r="BN277"/>
      <c r="BO277"/>
    </row>
    <row r="278" spans="1:67" ht="22.25" customHeight="1">
      <c r="A278" s="181">
        <f t="shared" si="101"/>
        <v>45292</v>
      </c>
      <c r="B278" s="485"/>
      <c r="C278" s="490"/>
      <c r="D278" s="521"/>
      <c r="E278" s="218" t="e">
        <f>DATE(YEAR(E277),MONTH(E277)+3,DAY(E277)-1)</f>
        <v>#NUM!</v>
      </c>
      <c r="F278" s="227" t="e">
        <f t="shared" si="103"/>
        <v>#NUM!</v>
      </c>
      <c r="G278" s="228" t="e">
        <f t="shared" si="104"/>
        <v>#NUM!</v>
      </c>
      <c r="H278" s="227" t="e">
        <f t="shared" si="105"/>
        <v>#NUM!</v>
      </c>
      <c r="I278" s="231">
        <f>IF(J275&lt;13,J275,"")</f>
        <v>0</v>
      </c>
      <c r="J278" s="230">
        <f>J276+3</f>
        <v>6</v>
      </c>
      <c r="K278" s="501" t="str">
        <f t="shared" si="102"/>
        <v>+Inflat.-P</v>
      </c>
      <c r="L278" s="508" t="e">
        <f>IF(M269="Stufe A",IF(AND(L270="Auswahl treffen",D277&gt;=0,D277&lt;=1000),J269,IF(AND(L270="Vermögend und ambulant",D277&gt;8,D277&lt;=1000),130,IF(AND(L270="Vermögend und ambulant",D277&gt;4,D277&lt;=8),158,IF(AND(L270="Vermögend und ambulant",D277&gt;2,D277&lt;=4),192,IF(AND(L270="Vermögend und ambulant",D277&gt;1,D277&lt;=2),208,IF(AND(L270="Vermögend und ambulant",D277&gt;0,D277&lt;=1),298,IF(AND(L270="Vermögend und stationär",D277&gt;8,D277&lt;=1000),78,IF(AND(L270="Vermögend und stationär",D277&gt;4,D277&lt;=8),91,IF(AND(L270="Vermögend und stationär",D277&gt;2,D277&lt;=4),140,IF(AND(L270="Vermögend und stationär",D277&gt;1,D277&lt;=2),158,IF(AND(L270="Vermögend und stationär",D277&gt;0,D277&lt;=1),200,IF(AND(L270="Mittellos und ambulant",D277&gt;8,D277&lt;=1000),105,IF(AND(L270="Mittellos und ambulant",D277&gt;4,D277&lt;=8),122,IF(AND(L270="Mittellos und ambulant",D277&gt;2,D277&lt;=4),151,IF(AND(L270="Mittellos und ambulant",D277&gt;1,D277&lt;=2),170,IF(AND(L270="Mittellos und ambulant",D277&gt;0,D277&lt;=1),208,IF(AND(L270="Mittellos und stationär",D277&gt;8,D277&lt;=1000),62,IF(AND(L270="Mittellos und stationär",D277&gt;4,D277&lt;=8),87,IF(AND(L270="Mittellos und stationär",D277&gt;2,D277&lt;=4),124,IF(AND(L270="Mittellos und stationär",D277&gt;1,D277&lt;=2),129,IF(AND(L270="Mittellos und stationär",D277&gt;0,D277&lt;=1),194,""))))))))))))))))))))),IF(M269="Stufe B",IF(AND(L270="Auswahl treffen",D277&gt;=0,D277&lt;=1000),J269,IF(AND(L270="Vermögend und ambulant",D277&gt;8,D277&lt;=1000),161,IF(AND(L270="Vermögend und ambulant",D277&gt;4,D277&lt;=8),196,IF(AND(L270="Vermögend und ambulant",D277&gt;2,D277&lt;=4),238,IF(AND(L270="Vermögend und ambulant",D277&gt;1,D277&lt;=2),258,IF(AND(L270="Vermögend und ambulant",D277&gt;0,D277&lt;=1),370,IF(AND(L270="Vermögend und stationär",D277&gt;8,D277&lt;=1000),96,IF(AND(L270="Vermögend und stationär",D277&gt;4,D277&lt;=8),113,IF(AND(L270="Vermögend und stationär",D277&gt;2,D277&lt;=4),174,IF(AND(L270="Vermögend und stationär",D277&gt;1,D277&lt;=2),196,IF(AND(L270="Vermögend und stationär",D277&gt;0,D277&lt;=1),249,IF(AND(L270="Mittellos und ambulant",D277&gt;8,D277&lt;=1000),130,IF(AND(L270="Mittellos und ambulant",D277&gt;4,D277&lt;=8),151,IF(AND(L270="Mittellos und ambulant",D277&gt;2,D277&lt;=4),188,IF(AND(L270="Mittellos und ambulant",D277&gt;1,D277&lt;=2),211,IF(AND(L270="Mittellos und ambulant",D277&gt;0,D277&lt;=1),258,IF(AND(L270="Mittellos und stationär",D277&gt;8,D277&lt;=1000),78,IF(AND(L270="Mittellos und stationär",D277&gt;4,D277&lt;=8),107,IF(AND(L270="Mittellos und stationär",D277&gt;2,D277&lt;=4),154,IF(AND(L270="Mittellos und stationär",D277&gt;1,D277&lt;=2),158,IF(AND(L270="Mittellos und stationär",D277&gt;0,D277&lt;=1),241,""))))))))))))))))))))),IF(M269="Stufe C",IF(AND(L270="Auswahl treffen",D277&gt;=0,D277&lt;=1000),J269,IF(AND(L270="Vermögend und ambulant",D277&gt;8,D277&lt;=1000),211,IF(AND(L270="Vermögend und ambulant",D277&gt;4,D277&lt;=8),257,IF(AND(L270="Vermögend und ambulant",D277&gt;2,D277&lt;=4),312,IF(AND(L270="Vermögend und ambulant",D277&gt;1,D277&lt;=2),339,IF(AND(L270="Vermögend und ambulant",D277&gt;0,D277&lt;=1),486,IF(AND(L270="Vermögend und stationär",D277&gt;8,D277&lt;=1000),127,IF(AND(L270="Vermögend und stationär",D277&gt;4,D277&lt;=8),149,IF(AND(L270="Vermögend und stationär",D277&gt;2,D277&lt;=4),229,IF(AND(L270="Vermögend und stationär",D277&gt;1,D277&lt;=2),257,IF(AND(L270="Vermögend und stationär",D277&gt;0,D277&lt;=1),327,IF(AND(L270="Mittellos und ambulant",D277&gt;8,D277&lt;=1000),171,IF(AND(L270="Mittellos und ambulant",D277&gt;4,D277&lt;=8),198,IF(AND(L270="Mittellos und ambulant",D277&gt;2,D277&lt;=4),246,IF(AND(L270="Mittellos und ambulant",D277&gt;1,D277&lt;=2),277,IF(AND(L270="Mittellos und ambulant",D277&gt;0,D277&lt;=1),339,IF(AND(L270="Mittellos und stationär",D277&gt;8,D277&lt;=1000),102,IF(AND(L270="Mittellos und stationär",D277&gt;4,D277&lt;=8),141,IF(AND(L270="Mittellos und stationär",D277&gt;2,D277&lt;=4),202,IF(AND(L270="Mittellos und stationär",D277&gt;1,D277&lt;=2),208,IF(AND(L270="Mittellos und stationär",D277&gt;0,D277&lt;=1),317,""))))))))))))))))))))),"")))*3+(J269*90)</f>
        <v>#NUM!</v>
      </c>
      <c r="M278" s="507" t="str">
        <f>CONCATENATE(K278, K277)</f>
        <v>+Inflat.-P</v>
      </c>
      <c r="N278" s="216"/>
      <c r="O278" s="188"/>
      <c r="P278" s="188"/>
      <c r="Q278" s="217" t="s">
        <v>118</v>
      </c>
      <c r="R278" s="189"/>
      <c r="S278" s="190"/>
      <c r="T278" s="190"/>
      <c r="U278" s="191"/>
      <c r="V278" s="192"/>
      <c r="W278" s="190"/>
      <c r="X278" s="190"/>
      <c r="Y278" s="191"/>
      <c r="Z278" s="192"/>
      <c r="AA278" s="190"/>
      <c r="AB278" s="190"/>
      <c r="AC278" s="191"/>
      <c r="AD278" s="192"/>
      <c r="AE278" s="190" t="s">
        <v>118</v>
      </c>
      <c r="AF278" s="190" t="s">
        <v>117</v>
      </c>
      <c r="AG278" s="191" t="s">
        <v>26</v>
      </c>
      <c r="AH278" s="193"/>
      <c r="AI278" s="190" t="s">
        <v>118</v>
      </c>
      <c r="AJ278" s="190" t="s">
        <v>117</v>
      </c>
      <c r="AK278" s="374" t="s">
        <v>26</v>
      </c>
      <c r="AL278" s="348" t="s">
        <v>151</v>
      </c>
      <c r="AM278" s="354"/>
      <c r="AN278" s="354"/>
      <c r="AO278" s="354"/>
      <c r="AP278" s="354">
        <f>IF(SUM(Q270:Q278)=SUM(AE270:AE278,AI270:AI278), 0, SUM(Q270:Q278)-SUM(AE270:AE278,AI270:AI278))</f>
        <v>0</v>
      </c>
      <c r="AQ278" s="350">
        <f>AM278+AN278+AO278+AP278</f>
        <v>0</v>
      </c>
      <c r="AR278" s="769"/>
      <c r="AS278" s="769"/>
      <c r="AT278" s="769"/>
      <c r="AW278"/>
      <c r="AX278"/>
      <c r="AY278" s="280"/>
      <c r="AZ278"/>
      <c r="BA278"/>
      <c r="BB278"/>
      <c r="BC278"/>
      <c r="BD278"/>
      <c r="BE278"/>
      <c r="BF278"/>
      <c r="BG278" s="280"/>
      <c r="BH278"/>
      <c r="BI278"/>
      <c r="BJ278"/>
      <c r="BK278"/>
      <c r="BL278"/>
      <c r="BM278"/>
      <c r="BN278"/>
      <c r="BO278"/>
    </row>
    <row r="279" spans="1:67" ht="22" customHeight="1">
      <c r="A279" s="181">
        <f t="shared" si="101"/>
        <v>45292</v>
      </c>
      <c r="B279" s="232" t="s">
        <v>74</v>
      </c>
      <c r="C279" s="233" t="s">
        <v>75</v>
      </c>
      <c r="D279" s="234" t="s">
        <v>76</v>
      </c>
      <c r="E279" s="235" t="s">
        <v>11</v>
      </c>
      <c r="F279" s="235" t="s">
        <v>4</v>
      </c>
      <c r="G279" s="235" t="s">
        <v>5</v>
      </c>
      <c r="H279" s="235" t="s">
        <v>6</v>
      </c>
      <c r="I279" s="236" t="s">
        <v>77</v>
      </c>
      <c r="J279" s="306"/>
      <c r="K279" s="506" t="str">
        <f t="shared" si="102"/>
        <v/>
      </c>
      <c r="L279" s="306" t="str">
        <f>IFERROR(VLOOKUP(B280,'Aktuelle Einnahmen'!A2:J104,10,0),"")</f>
        <v/>
      </c>
      <c r="M279" s="510" t="str">
        <f>M269</f>
        <v>Stufe C</v>
      </c>
      <c r="N279" s="237"/>
      <c r="O279" s="238"/>
      <c r="P279" s="238"/>
      <c r="Q279" s="239"/>
      <c r="R279" s="240"/>
      <c r="S279" s="241"/>
      <c r="T279" s="241"/>
      <c r="U279" s="242"/>
      <c r="V279" s="243"/>
      <c r="W279" s="241"/>
      <c r="X279" s="241"/>
      <c r="Y279" s="242"/>
      <c r="Z279" s="243"/>
      <c r="AA279" s="241"/>
      <c r="AB279" s="241"/>
      <c r="AC279" s="242"/>
      <c r="AD279" s="243"/>
      <c r="AE279" s="241"/>
      <c r="AF279" s="241"/>
      <c r="AG279" s="242"/>
      <c r="AH279" s="240"/>
      <c r="AI279" s="241"/>
      <c r="AJ279" s="241"/>
      <c r="AK279" s="377"/>
      <c r="AL279" s="347"/>
      <c r="AM279" s="353"/>
      <c r="AN279" s="353"/>
      <c r="AO279" s="353"/>
      <c r="AP279" s="353"/>
      <c r="AQ279" s="349"/>
      <c r="AR279" s="768"/>
      <c r="AS279" s="768"/>
      <c r="AT279" s="768"/>
      <c r="AW279"/>
      <c r="AX279"/>
      <c r="AY279" s="280"/>
      <c r="AZ279"/>
      <c r="BA279"/>
      <c r="BB279"/>
      <c r="BC279"/>
      <c r="BD279"/>
      <c r="BE279"/>
      <c r="BF279"/>
      <c r="BG279" s="280"/>
      <c r="BH279"/>
      <c r="BI279"/>
      <c r="BJ279"/>
      <c r="BK279"/>
      <c r="BL279"/>
      <c r="BM279"/>
      <c r="BN279"/>
      <c r="BO279"/>
    </row>
    <row r="280" spans="1:67" ht="23" customHeight="1">
      <c r="A280" s="181">
        <f t="shared" si="101"/>
        <v>45292</v>
      </c>
      <c r="B280" s="182">
        <v>28</v>
      </c>
      <c r="C280" s="245">
        <f>IFERROR(VLOOKUP($B280,'Aktuelle Einnahmen'!A2:G104,3,0),"")</f>
        <v>0</v>
      </c>
      <c r="D280" s="246">
        <f>IFERROR(VLOOKUP($B280,'Aktuelle Einnahmen'!A2:G104,2,0),"")</f>
        <v>0</v>
      </c>
      <c r="E280" s="247">
        <f>IFERROR(VLOOKUP($B280,'Aktuelle Einnahmen'!A2:G104,4,0),"")</f>
        <v>0</v>
      </c>
      <c r="F280" s="94">
        <f>IFERROR(VLOOKUP($B280,'Aktuelle Einnahmen'!A2:G104,5,0),"")</f>
        <v>0</v>
      </c>
      <c r="G280" s="94">
        <f>IFERROR(VLOOKUP($B280,'Aktuelle Einnahmen'!A2:G104,6,0),"")</f>
        <v>0</v>
      </c>
      <c r="H280" s="94">
        <f>IFERROR(VLOOKUP($B280,'Aktuelle Einnahmen'!A2:G104,7,0),"")</f>
        <v>0</v>
      </c>
      <c r="I280" s="186" t="e">
        <f>DATE(H280,G280,F280)</f>
        <v>#NUM!</v>
      </c>
      <c r="J280" s="472">
        <f ca="1">J270</f>
        <v>45475</v>
      </c>
      <c r="K280" s="501" t="str">
        <f t="shared" si="102"/>
        <v>+Inflat.-P</v>
      </c>
      <c r="L280" s="1262" t="str">
        <f>IFERROR(VLOOKUP(B280,'Aktuelle Einnahmen'!A12:I114,9,0),"")</f>
        <v>Auswahl treffen</v>
      </c>
      <c r="M280" s="1263"/>
      <c r="N280" s="261"/>
      <c r="O280" s="261"/>
      <c r="P280" s="261"/>
      <c r="Q280" s="261"/>
      <c r="R280" s="189"/>
      <c r="S280" s="190"/>
      <c r="T280" s="190"/>
      <c r="U280" s="191"/>
      <c r="V280" s="192"/>
      <c r="W280" s="190"/>
      <c r="X280" s="190"/>
      <c r="Y280" s="191"/>
      <c r="Z280" s="192"/>
      <c r="AA280" s="190"/>
      <c r="AB280" s="190"/>
      <c r="AC280" s="191"/>
      <c r="AD280" s="192"/>
      <c r="AE280" s="190"/>
      <c r="AF280" s="190"/>
      <c r="AG280" s="191"/>
      <c r="AH280" s="193"/>
      <c r="AI280" s="190"/>
      <c r="AJ280" s="190"/>
      <c r="AK280" s="374"/>
      <c r="AL280" s="348"/>
      <c r="AM280" s="354"/>
      <c r="AN280" s="354"/>
      <c r="AO280" s="354"/>
      <c r="AP280" s="354"/>
      <c r="AQ280" s="350"/>
      <c r="AR280" s="769"/>
      <c r="AS280" s="769"/>
      <c r="AT280" s="769"/>
      <c r="AW280"/>
      <c r="AX280"/>
      <c r="AY280" s="280"/>
      <c r="AZ280"/>
      <c r="BA280"/>
      <c r="BB280"/>
      <c r="BC280"/>
      <c r="BD280"/>
      <c r="BE280"/>
      <c r="BF280"/>
      <c r="BG280" s="280"/>
      <c r="BH280"/>
      <c r="BI280"/>
      <c r="BJ280"/>
      <c r="BK280"/>
      <c r="BL280"/>
      <c r="BM280"/>
      <c r="BN280"/>
      <c r="BO280"/>
    </row>
    <row r="281" spans="1:67" ht="22.25" customHeight="1">
      <c r="A281" s="181">
        <f t="shared" si="101"/>
        <v>45292</v>
      </c>
      <c r="B281" s="484" t="e">
        <f>DAY(I280)</f>
        <v>#NUM!</v>
      </c>
      <c r="C281" s="489" t="s">
        <v>158</v>
      </c>
      <c r="D281" s="520" t="e">
        <f>(I281*4)+J281/3+1</f>
        <v>#NUM!</v>
      </c>
      <c r="E281" s="194" t="e">
        <f>J283+1</f>
        <v>#NUM!</v>
      </c>
      <c r="F281" s="195" t="e">
        <f t="shared" ref="F281:F288" si="106">DAY(E281)</f>
        <v>#NUM!</v>
      </c>
      <c r="G281" s="196" t="e">
        <f t="shared" ref="G281:G288" si="107">MONTH(E281)</f>
        <v>#NUM!</v>
      </c>
      <c r="H281" s="195" t="e">
        <f t="shared" ref="H281:H288" si="108">YEAR(E281)</f>
        <v>#NUM!</v>
      </c>
      <c r="I281" s="197" t="e">
        <f>H281-(H280+2000)</f>
        <v>#NUM!</v>
      </c>
      <c r="J281" s="198" t="e">
        <f>G281-G280</f>
        <v>#NUM!</v>
      </c>
      <c r="K281" s="506" t="str">
        <f>L279</f>
        <v/>
      </c>
      <c r="L281" s="469"/>
      <c r="M281" s="473" t="e">
        <f ca="1">SUM(J280-E282)&amp;" Tage"</f>
        <v>#NUM!</v>
      </c>
      <c r="N281" s="206"/>
      <c r="O281" s="201"/>
      <c r="P281" s="201"/>
      <c r="Q281" s="202"/>
      <c r="R281" s="189"/>
      <c r="S281" s="203"/>
      <c r="T281" s="203"/>
      <c r="U281" s="204"/>
      <c r="V281" s="192"/>
      <c r="W281" s="203"/>
      <c r="X281" s="203"/>
      <c r="Y281" s="204"/>
      <c r="Z281" s="192"/>
      <c r="AA281" s="203"/>
      <c r="AB281" s="203"/>
      <c r="AC281" s="204"/>
      <c r="AD281" s="192"/>
      <c r="AE281" s="203"/>
      <c r="AF281" s="203"/>
      <c r="AG281" s="204"/>
      <c r="AH281" s="193"/>
      <c r="AI281" s="203"/>
      <c r="AJ281" s="203"/>
      <c r="AK281" s="375"/>
      <c r="AL281" s="348"/>
      <c r="AM281" s="354"/>
      <c r="AN281" s="354"/>
      <c r="AO281" s="354"/>
      <c r="AP281" s="354"/>
      <c r="AQ281" s="350"/>
      <c r="AR281" s="769"/>
      <c r="AS281" s="769"/>
      <c r="AT281" s="769"/>
      <c r="AW281"/>
      <c r="AX281"/>
      <c r="AY281" s="280"/>
      <c r="AZ281"/>
      <c r="BA281"/>
      <c r="BB281"/>
      <c r="BC281"/>
      <c r="BD281"/>
      <c r="BE281"/>
      <c r="BF281"/>
      <c r="BG281" s="280"/>
      <c r="BH281"/>
      <c r="BI281"/>
      <c r="BJ281"/>
      <c r="BK281"/>
      <c r="BL281"/>
      <c r="BM281"/>
      <c r="BN281"/>
      <c r="BO281"/>
    </row>
    <row r="282" spans="1:67" ht="22.25" customHeight="1">
      <c r="A282" s="181">
        <f t="shared" si="101"/>
        <v>45292</v>
      </c>
      <c r="B282" s="485"/>
      <c r="C282" s="490"/>
      <c r="D282" s="521"/>
      <c r="E282" s="194" t="e">
        <f>DATE(YEAR(E281),MONTH(E281)+3,DAY(E281)-1)</f>
        <v>#NUM!</v>
      </c>
      <c r="F282" s="195" t="e">
        <f t="shared" si="106"/>
        <v>#NUM!</v>
      </c>
      <c r="G282" s="196" t="e">
        <f t="shared" si="107"/>
        <v>#NUM!</v>
      </c>
      <c r="H282" s="195" t="e">
        <f t="shared" si="108"/>
        <v>#NUM!</v>
      </c>
      <c r="I282" s="244">
        <v>-1</v>
      </c>
      <c r="J282" s="198" t="e">
        <f>F281-F280</f>
        <v>#NUM!</v>
      </c>
      <c r="K282" s="501" t="str">
        <f t="shared" si="102"/>
        <v>+Inflat.-P</v>
      </c>
      <c r="L282" s="511" t="e">
        <f>IF(M279="Stufe A",IF(AND(L280="Auswahl treffen",D281&gt;=0,D281&lt;=1000),J279,IF(AND(L280="Vermögend und ambulant",D281&gt;8,D281&lt;=1000),130,IF(AND(L280="Vermögend und ambulant",D281&gt;4,D281&lt;=8),158,IF(AND(L280="Vermögend und ambulant",D281&gt;2,D281&lt;=4),192,IF(AND(L280="Vermögend und ambulant",D281&gt;1,D281&lt;=2),208,IF(AND(L280="Vermögend und ambulant",D281&gt;0,D281&lt;=1),298,IF(AND(L280="Vermögend und stationär",D281&gt;8,D281&lt;=1000),78,IF(AND(L280="Vermögend und stationär",D281&gt;4,D281&lt;=8),91,IF(AND(L280="Vermögend und stationär",D281&gt;2,D281&lt;=4),140,IF(AND(L280="Vermögend und stationär",D281&gt;1,D281&lt;=2),158,IF(AND(L280="Vermögend und stationär",D281&gt;0,D281&lt;=1),200,IF(AND(L280="Mittellos und ambulant",D281&gt;8,D281&lt;=1000),105,IF(AND(L280="Mittellos und ambulant",D281&gt;4,D281&lt;=8),122,IF(AND(L280="Mittellos und ambulant",D281&gt;2,D281&lt;=4),151,IF(AND(L280="Mittellos und ambulant",D281&gt;1,D281&lt;=2),170,IF(AND(L280="Mittellos und ambulant",D281&gt;0,D281&lt;=1),208,IF(AND(L280="Mittellos und stationär",D281&gt;8,D281&lt;=1000),62,IF(AND(L280="Mittellos und stationär",D281&gt;4,D281&lt;=8),87,IF(AND(L280="Mittellos und stationär",D281&gt;2,D281&lt;=4),124,IF(AND(L280="Mittellos und stationär",D281&gt;1,D281&lt;=2),129,IF(AND(L280="Mittellos und stationär",D281&gt;0,D281&lt;=1),194,""))))))))))))))))))))),IF(M279="Stufe B",IF(AND(L280="Auswahl treffen",D281&gt;=0,D281&lt;=1000),J279,IF(AND(L280="Vermögend und ambulant",D281&gt;8,D281&lt;=1000),161,IF(AND(L280="Vermögend und ambulant",D281&gt;4,D281&lt;=8),196,IF(AND(L280="Vermögend und ambulant",D281&gt;2,D281&lt;=4),238,IF(AND(L280="Vermögend und ambulant",D281&gt;1,D281&lt;=2),258,IF(AND(L280="Vermögend und ambulant",D281&gt;0,D281&lt;=1),370,IF(AND(L280="Vermögend und stationär",D281&gt;8,D281&lt;=1000),96,IF(AND(L280="Vermögend und stationär",D281&gt;4,D281&lt;=8),113,IF(AND(L280="Vermögend und stationär",D281&gt;2,D281&lt;=4),174,IF(AND(L280="Vermögend und stationär",D281&gt;1,D281&lt;=2),196,IF(AND(L280="Vermögend und stationär",D281&gt;0,D281&lt;=1),249,IF(AND(L280="Mittellos und ambulant",D281&gt;8,D281&lt;=1000),130,IF(AND(L280="Mittellos und ambulant",D281&gt;4,D281&lt;=8),151,IF(AND(L280="Mittellos und ambulant",D281&gt;2,D281&lt;=4),188,IF(AND(L280="Mittellos und ambulant",D281&gt;1,D281&lt;=2),211,IF(AND(L280="Mittellos und ambulant",D281&gt;0,D281&lt;=1),258,IF(AND(L280="Mittellos und stationär",D281&gt;8,D281&lt;=1000),78,IF(AND(L280="Mittellos und stationär",D281&gt;4,D281&lt;=8),107,IF(AND(L280="Mittellos und stationär",D281&gt;2,D281&lt;=4),154,IF(AND(L280="Mittellos und stationär",D281&gt;1,D281&lt;=2),158,IF(AND(L280="Mittellos und stationär",D281&gt;0,D281&lt;=1),241,""))))))))))))))))))))),IF(M279="Stufe C",IF(AND(L280="Auswahl treffen",D281&gt;=0,D281&lt;=1000),J279,IF(AND(L280="Vermögend und ambulant",D281&gt;8,D281&lt;=1000),211,IF(AND(L280="Vermögend und ambulant",D281&gt;4,D281&lt;=8),257,IF(AND(L280="Vermögend und ambulant",D281&gt;2,D281&lt;=4),312,IF(AND(L280="Vermögend und ambulant",D281&gt;1,D281&lt;=2),339,IF(AND(L280="Vermögend und ambulant",D281&gt;0,D281&lt;=1),486,IF(AND(L280="Vermögend und stationär",D281&gt;8,D281&lt;=1000),127,IF(AND(L280="Vermögend und stationär",D281&gt;4,D281&lt;=8),149,IF(AND(L280="Vermögend und stationär",D281&gt;2,D281&lt;=4),229,IF(AND(L280="Vermögend und stationär",D281&gt;1,D281&lt;=2),257,IF(AND(L280="Vermögend und stationär",D281&gt;0,D281&lt;=1),327,IF(AND(L280="Mittellos und ambulant",D281&gt;8,D281&lt;=1000),171,IF(AND(L280="Mittellos und ambulant",D281&gt;4,D281&lt;=8),198,IF(AND(L280="Mittellos und ambulant",D281&gt;2,D281&lt;=4),246,IF(AND(L280="Mittellos und ambulant",D281&gt;1,D281&lt;=2),277,IF(AND(L280="Mittellos und ambulant",D281&gt;0,D281&lt;=1),339,IF(AND(L280="Mittellos und stationär",D281&gt;8,D281&lt;=1000),102,IF(AND(L280="Mittellos und stationär",D281&gt;4,D281&lt;=8),141,IF(AND(L280="Mittellos und stationär",D281&gt;2,D281&lt;=4),202,IF(AND(L280="Mittellos und stationär",D281&gt;1,D281&lt;=2),208,IF(AND(L280="Mittellos und stationär",D281&gt;0,D281&lt;=1),317,""))))))))))))))))))))),"")))*3+(J279*90)</f>
        <v>#NUM!</v>
      </c>
      <c r="M282" s="507" t="str">
        <f>CONCATENATE(K282, K281)</f>
        <v>+Inflat.-P</v>
      </c>
      <c r="N282" s="206" t="s">
        <v>118</v>
      </c>
      <c r="O282" s="207"/>
      <c r="P282" s="207"/>
      <c r="Q282" s="208"/>
      <c r="R282" s="187"/>
      <c r="S282" s="209" t="s">
        <v>118</v>
      </c>
      <c r="T282" s="201" t="s">
        <v>117</v>
      </c>
      <c r="U282" s="210" t="s">
        <v>26</v>
      </c>
      <c r="V282" s="192"/>
      <c r="W282" s="203"/>
      <c r="X282" s="203"/>
      <c r="Y282" s="210"/>
      <c r="Z282" s="192"/>
      <c r="AA282" s="203"/>
      <c r="AB282" s="203"/>
      <c r="AC282" s="210"/>
      <c r="AD282" s="192"/>
      <c r="AE282" s="203"/>
      <c r="AF282" s="203"/>
      <c r="AG282" s="210"/>
      <c r="AH282" s="193"/>
      <c r="AI282" s="203"/>
      <c r="AJ282" s="203"/>
      <c r="AK282" s="376"/>
      <c r="AL282" s="348" t="s">
        <v>148</v>
      </c>
      <c r="AM282" s="354">
        <f>IF(SUM(N280:N288)=SUM(S280:S288), 0, SUM(N280:N288)-SUM(S280:S288))</f>
        <v>0</v>
      </c>
      <c r="AN282" s="354"/>
      <c r="AO282" s="354"/>
      <c r="AP282" s="354"/>
      <c r="AQ282" s="350">
        <f>AM282+AN282+AO282+AP282</f>
        <v>0</v>
      </c>
      <c r="AR282" s="769"/>
      <c r="AS282" s="769"/>
      <c r="AT282" s="769"/>
      <c r="AW282"/>
      <c r="AX282"/>
      <c r="AY282" s="280"/>
      <c r="AZ282"/>
      <c r="BA282"/>
      <c r="BB282"/>
      <c r="BC282"/>
      <c r="BD282"/>
      <c r="BE282"/>
      <c r="BF282"/>
      <c r="BG282" s="280"/>
      <c r="BH282"/>
      <c r="BI282"/>
      <c r="BJ282"/>
      <c r="BK282"/>
      <c r="BL282"/>
      <c r="BM282"/>
      <c r="BN282"/>
      <c r="BO282"/>
    </row>
    <row r="283" spans="1:67" ht="22.25" customHeight="1">
      <c r="A283" s="181">
        <f t="shared" si="101"/>
        <v>45292</v>
      </c>
      <c r="B283" s="484" t="e">
        <f>MONTH(I280)</f>
        <v>#NUM!</v>
      </c>
      <c r="C283" s="489" t="s">
        <v>158</v>
      </c>
      <c r="D283" s="522" t="e">
        <f>D281+1</f>
        <v>#NUM!</v>
      </c>
      <c r="E283" s="211" t="e">
        <f>DATE(YEAR(E282),MONTH(E282),DAY(E282)+1)</f>
        <v>#NUM!</v>
      </c>
      <c r="F283" s="212" t="e">
        <f t="shared" si="106"/>
        <v>#NUM!</v>
      </c>
      <c r="G283" s="213" t="e">
        <f t="shared" si="107"/>
        <v>#NUM!</v>
      </c>
      <c r="H283" s="212" t="e">
        <f t="shared" si="108"/>
        <v>#NUM!</v>
      </c>
      <c r="I283" s="214" t="str">
        <f>IF(D280&lt;&gt;0,"-1T","")</f>
        <v/>
      </c>
      <c r="J283" s="215" t="e">
        <f>DATE($B285,I284,$B281)</f>
        <v>#NUM!</v>
      </c>
      <c r="K283" s="506" t="str">
        <f t="shared" si="102"/>
        <v/>
      </c>
      <c r="L283" s="470"/>
      <c r="M283" s="473" t="e">
        <f ca="1">SUM(J280-E284)&amp;" Tage"</f>
        <v>#NUM!</v>
      </c>
      <c r="N283" s="216"/>
      <c r="O283" s="217"/>
      <c r="P283" s="188"/>
      <c r="Q283" s="217"/>
      <c r="R283" s="189"/>
      <c r="S283" s="190"/>
      <c r="T283" s="190"/>
      <c r="U283" s="191"/>
      <c r="V283" s="192"/>
      <c r="W283" s="190"/>
      <c r="X283" s="190"/>
      <c r="Y283" s="191"/>
      <c r="Z283" s="192"/>
      <c r="AA283" s="190"/>
      <c r="AB283" s="190"/>
      <c r="AC283" s="191"/>
      <c r="AD283" s="192"/>
      <c r="AE283" s="190"/>
      <c r="AF283" s="190"/>
      <c r="AG283" s="191"/>
      <c r="AH283" s="193"/>
      <c r="AI283" s="190"/>
      <c r="AJ283" s="190"/>
      <c r="AK283" s="374"/>
      <c r="AL283" s="348"/>
      <c r="AM283" s="354"/>
      <c r="AN283" s="354"/>
      <c r="AO283" s="354"/>
      <c r="AP283" s="354"/>
      <c r="AQ283" s="350"/>
      <c r="AR283" s="769"/>
      <c r="AS283" s="769"/>
      <c r="AT283" s="769"/>
      <c r="AW283"/>
      <c r="AX283"/>
      <c r="AY283" s="280"/>
      <c r="AZ283"/>
      <c r="BA283"/>
      <c r="BB283"/>
      <c r="BC283"/>
      <c r="BD283"/>
      <c r="BE283"/>
      <c r="BF283"/>
      <c r="BG283" s="280"/>
      <c r="BH283"/>
      <c r="BI283"/>
      <c r="BJ283"/>
      <c r="BK283"/>
      <c r="BL283"/>
      <c r="BM283"/>
      <c r="BN283"/>
      <c r="BO283"/>
    </row>
    <row r="284" spans="1:67" ht="22.25" customHeight="1">
      <c r="A284" s="181">
        <f t="shared" si="101"/>
        <v>45292</v>
      </c>
      <c r="B284" s="485"/>
      <c r="C284" s="490"/>
      <c r="D284" s="521"/>
      <c r="E284" s="218" t="e">
        <f>DATE(YEAR(E283),MONTH(E283)+3,DAY(E283)-1)</f>
        <v>#NUM!</v>
      </c>
      <c r="F284" s="212" t="e">
        <f t="shared" si="106"/>
        <v>#NUM!</v>
      </c>
      <c r="G284" s="213" t="e">
        <f t="shared" si="107"/>
        <v>#NUM!</v>
      </c>
      <c r="H284" s="212" t="e">
        <f t="shared" si="108"/>
        <v>#NUM!</v>
      </c>
      <c r="I284" s="219">
        <f>MAX(I285:I288)</f>
        <v>9</v>
      </c>
      <c r="J284" s="220" t="e">
        <f>DATE(YEAR(J283)+1,MONTH(J283),DAY(J283))</f>
        <v>#NUM!</v>
      </c>
      <c r="K284" s="501" t="str">
        <f t="shared" si="102"/>
        <v>+Inflat.-P</v>
      </c>
      <c r="L284" s="508" t="e">
        <f>IF(M279="Stufe A",IF(AND(L280="Auswahl treffen",D283&gt;=0,D283&lt;=1000),J279,IF(AND(L280="Vermögend und ambulant",D283&gt;8,D283&lt;=1000),130,IF(AND(L280="Vermögend und ambulant",D283&gt;4,D283&lt;=8),158,IF(AND(L280="Vermögend und ambulant",D283&gt;2,D283&lt;=4),192,IF(AND(L280="Vermögend und ambulant",D283&gt;1,D283&lt;=2),208,IF(AND(L280="Vermögend und ambulant",D283&gt;0,D283&lt;=1),298,IF(AND(L280="Vermögend und stationär",D283&gt;8,D283&lt;=1000),78,IF(AND(L280="Vermögend und stationär",D283&gt;4,D283&lt;=8),91,IF(AND(L280="Vermögend und stationär",D283&gt;2,D283&lt;=4),140,IF(AND(L280="Vermögend und stationär",D283&gt;1,D283&lt;=2),158,IF(AND(L280="Vermögend und stationär",D283&gt;0,D283&lt;=1),200,IF(AND(L280="Mittellos und ambulant",D283&gt;8,D283&lt;=1000),105,IF(AND(L280="Mittellos und ambulant",D283&gt;4,D283&lt;=8),122,IF(AND(L280="Mittellos und ambulant",D283&gt;2,D283&lt;=4),151,IF(AND(L280="Mittellos und ambulant",D283&gt;1,D283&lt;=2),170,IF(AND(L280="Mittellos und ambulant",D283&gt;0,D283&lt;=1),208,IF(AND(L280="Mittellos und stationär",D283&gt;8,D283&lt;=1000),62,IF(AND(L280="Mittellos und stationär",D283&gt;4,D283&lt;=8),87,IF(AND(L280="Mittellos und stationär",D283&gt;2,D283&lt;=4),124,IF(AND(L280="Mittellos und stationär",D283&gt;1,D283&lt;=2),129,IF(AND(L280="Mittellos und stationär",D283&gt;0,D283&lt;=1),194,""))))))))))))))))))))),IF(M279="Stufe B",IF(AND(L280="Auswahl treffen",D283&gt;=0,D283&lt;=1000),J279,IF(AND(L280="Vermögend und ambulant",D283&gt;8,D283&lt;=1000),161,IF(AND(L280="Vermögend und ambulant",D283&gt;4,D283&lt;=8),196,IF(AND(L280="Vermögend und ambulant",D283&gt;2,D283&lt;=4),238,IF(AND(L280="Vermögend und ambulant",D283&gt;1,D283&lt;=2),258,IF(AND(L280="Vermögend und ambulant",D283&gt;0,D283&lt;=1),370,IF(AND(L280="Vermögend und stationär",D283&gt;8,D283&lt;=1000),96,IF(AND(L280="Vermögend und stationär",D283&gt;4,D283&lt;=8),113,IF(AND(L280="Vermögend und stationär",D283&gt;2,D283&lt;=4),174,IF(AND(L280="Vermögend und stationär",D283&gt;1,D283&lt;=2),196,IF(AND(L280="Vermögend und stationär",D283&gt;0,D283&lt;=1),249,IF(AND(L280="Mittellos und ambulant",D283&gt;8,D283&lt;=1000),130,IF(AND(L280="Mittellos und ambulant",D283&gt;4,D283&lt;=8),151,IF(AND(L280="Mittellos und ambulant",D283&gt;2,D283&lt;=4),188,IF(AND(L280="Mittellos und ambulant",D283&gt;1,D283&lt;=2),211,IF(AND(L280="Mittellos und ambulant",D283&gt;0,D283&lt;=1),258,IF(AND(L280="Mittellos und stationär",D283&gt;8,D283&lt;=1000),78,IF(AND(L280="Mittellos und stationär",D283&gt;4,D283&lt;=8),107,IF(AND(L280="Mittellos und stationär",D283&gt;2,D283&lt;=4),154,IF(AND(L280="Mittellos und stationär",D283&gt;1,D283&lt;=2),158,IF(AND(L280="Mittellos und stationär",D283&gt;0,D283&lt;=1),241,""))))))))))))))))))))),IF(M279="Stufe C",IF(AND(L280="Auswahl treffen",D283&gt;=0,D283&lt;=1000),J279,IF(AND(L280="Vermögend und ambulant",D283&gt;8,D283&lt;=1000),211,IF(AND(L280="Vermögend und ambulant",D283&gt;4,D283&lt;=8),257,IF(AND(L280="Vermögend und ambulant",D283&gt;2,D283&lt;=4),312,IF(AND(L280="Vermögend und ambulant",D283&gt;1,D283&lt;=2),339,IF(AND(L280="Vermögend und ambulant",D283&gt;0,D283&lt;=1),486,IF(AND(L280="Vermögend und stationär",D283&gt;8,D283&lt;=1000),127,IF(AND(L280="Vermögend und stationär",D283&gt;4,D283&lt;=8),149,IF(AND(L280="Vermögend und stationär",D283&gt;2,D283&lt;=4),229,IF(AND(L280="Vermögend und stationär",D283&gt;1,D283&lt;=2),257,IF(AND(L280="Vermögend und stationär",D283&gt;0,D283&lt;=1),327,IF(AND(L280="Mittellos und ambulant",D283&gt;8,D283&lt;=1000),171,IF(AND(L280="Mittellos und ambulant",D283&gt;4,D283&lt;=8),198,IF(AND(L280="Mittellos und ambulant",D283&gt;2,D283&lt;=4),246,IF(AND(L280="Mittellos und ambulant",D283&gt;1,D283&lt;=2),277,IF(AND(L280="Mittellos und ambulant",D283&gt;0,D283&lt;=1),339,IF(AND(L280="Mittellos und stationär",D283&gt;8,D283&lt;=1000),102,IF(AND(L280="Mittellos und stationär",D283&gt;4,D283&lt;=8),141,IF(AND(L280="Mittellos und stationär",D283&gt;2,D283&lt;=4),202,IF(AND(L280="Mittellos und stationär",D283&gt;1,D283&lt;=2),208,IF(AND(L280="Mittellos und stationär",D283&gt;0,D283&lt;=1),317,""))))))))))))))))))))),"")))*3+(J279*90)</f>
        <v>#NUM!</v>
      </c>
      <c r="M284" s="507" t="str">
        <f>CONCATENATE(K284, K283)</f>
        <v>+Inflat.-P</v>
      </c>
      <c r="N284" s="216"/>
      <c r="O284" s="188" t="s">
        <v>118</v>
      </c>
      <c r="P284" s="188"/>
      <c r="Q284" s="221"/>
      <c r="R284" s="199"/>
      <c r="S284" s="190"/>
      <c r="T284" s="190"/>
      <c r="U284" s="191"/>
      <c r="V284" s="192"/>
      <c r="W284" s="222" t="s">
        <v>118</v>
      </c>
      <c r="X284" s="222" t="s">
        <v>117</v>
      </c>
      <c r="Y284" s="191" t="s">
        <v>26</v>
      </c>
      <c r="Z284" s="192"/>
      <c r="AA284" s="190"/>
      <c r="AB284" s="190"/>
      <c r="AC284" s="191"/>
      <c r="AD284" s="192"/>
      <c r="AE284" s="190"/>
      <c r="AF284" s="190"/>
      <c r="AG284" s="191"/>
      <c r="AH284" s="193"/>
      <c r="AI284" s="190"/>
      <c r="AJ284" s="190"/>
      <c r="AK284" s="374"/>
      <c r="AL284" s="348" t="s">
        <v>149</v>
      </c>
      <c r="AM284" s="354"/>
      <c r="AN284" s="354">
        <f>IF(SUM(O280:O288)=SUM(W280:W288), 0, SUM(O280:O288)-SUM(W280:W288))</f>
        <v>0</v>
      </c>
      <c r="AO284" s="354"/>
      <c r="AP284" s="354"/>
      <c r="AQ284" s="350">
        <f>AM284+AN284+AO284+AP284</f>
        <v>0</v>
      </c>
      <c r="AR284" s="769"/>
      <c r="AS284" s="769"/>
      <c r="AT284" s="769"/>
      <c r="AW284"/>
      <c r="AX284"/>
      <c r="AY284" s="280"/>
      <c r="AZ284"/>
      <c r="BA284"/>
      <c r="BB284"/>
      <c r="BC284"/>
      <c r="BD284"/>
      <c r="BE284"/>
      <c r="BF284"/>
      <c r="BG284" s="280"/>
      <c r="BH284"/>
      <c r="BI284"/>
      <c r="BJ284"/>
      <c r="BK284"/>
      <c r="BL284"/>
      <c r="BM284"/>
      <c r="BN284"/>
      <c r="BO284"/>
    </row>
    <row r="285" spans="1:67" ht="22.25" customHeight="1">
      <c r="A285" s="181">
        <f t="shared" si="101"/>
        <v>45292</v>
      </c>
      <c r="B285" s="484">
        <f>YEAR($A286)-1</f>
        <v>2023</v>
      </c>
      <c r="C285" s="489" t="s">
        <v>158</v>
      </c>
      <c r="D285" s="520" t="e">
        <f>D283+1</f>
        <v>#NUM!</v>
      </c>
      <c r="E285" s="194" t="e">
        <f>DATE(YEAR(E284),MONTH(E284),DAY(E284)+1)</f>
        <v>#NUM!</v>
      </c>
      <c r="F285" s="195" t="e">
        <f t="shared" si="106"/>
        <v>#NUM!</v>
      </c>
      <c r="G285" s="196" t="e">
        <f t="shared" si="107"/>
        <v>#NUM!</v>
      </c>
      <c r="H285" s="195" t="e">
        <f t="shared" si="108"/>
        <v>#NUM!</v>
      </c>
      <c r="I285" s="197">
        <f>IF(J287&lt;13,J287,"")</f>
        <v>9</v>
      </c>
      <c r="J285" s="224">
        <f>G280</f>
        <v>0</v>
      </c>
      <c r="K285" s="501" t="str">
        <f t="shared" si="102"/>
        <v/>
      </c>
      <c r="L285" s="471"/>
      <c r="M285" s="473" t="e">
        <f ca="1">SUM(J280-E286)&amp;" Tage"</f>
        <v>#NUM!</v>
      </c>
      <c r="N285" s="200"/>
      <c r="O285" s="201"/>
      <c r="P285" s="201"/>
      <c r="Q285" s="202"/>
      <c r="R285" s="189"/>
      <c r="S285" s="203"/>
      <c r="T285" s="203"/>
      <c r="U285" s="204"/>
      <c r="V285" s="192"/>
      <c r="W285" s="203"/>
      <c r="X285" s="203"/>
      <c r="Y285" s="204"/>
      <c r="Z285" s="192"/>
      <c r="AA285" s="203"/>
      <c r="AB285" s="203"/>
      <c r="AC285" s="204"/>
      <c r="AD285" s="192"/>
      <c r="AE285" s="203"/>
      <c r="AF285" s="203"/>
      <c r="AG285" s="204"/>
      <c r="AH285" s="193"/>
      <c r="AI285" s="203"/>
      <c r="AJ285" s="203"/>
      <c r="AK285" s="375"/>
      <c r="AL285" s="348"/>
      <c r="AM285" s="354"/>
      <c r="AN285" s="354"/>
      <c r="AO285" s="354"/>
      <c r="AP285" s="354"/>
      <c r="AQ285" s="350"/>
      <c r="AR285" s="769"/>
      <c r="AS285" s="769"/>
      <c r="AT285" s="769"/>
      <c r="AW285"/>
      <c r="AX285"/>
      <c r="AY285" s="280"/>
      <c r="AZ285"/>
      <c r="BA285"/>
      <c r="BB285"/>
      <c r="BC285"/>
      <c r="BD285"/>
      <c r="BE285"/>
      <c r="BF285"/>
      <c r="BG285" s="280"/>
      <c r="BH285"/>
      <c r="BI285"/>
      <c r="BJ285"/>
      <c r="BK285"/>
      <c r="BL285"/>
      <c r="BM285"/>
      <c r="BN285"/>
      <c r="BO285"/>
    </row>
    <row r="286" spans="1:67" ht="22.25" customHeight="1">
      <c r="A286" s="181">
        <f t="shared" si="101"/>
        <v>45292</v>
      </c>
      <c r="B286" s="485"/>
      <c r="C286" s="490"/>
      <c r="D286" s="521"/>
      <c r="E286" s="194" t="e">
        <f>DATE(YEAR(E285),MONTH(E285)+3,DAY(E285)-1)</f>
        <v>#NUM!</v>
      </c>
      <c r="F286" s="195" t="e">
        <f t="shared" si="106"/>
        <v>#NUM!</v>
      </c>
      <c r="G286" s="196" t="e">
        <f t="shared" si="107"/>
        <v>#NUM!</v>
      </c>
      <c r="H286" s="195" t="e">
        <f t="shared" si="108"/>
        <v>#NUM!</v>
      </c>
      <c r="I286" s="244">
        <f>IF(J288&lt;13,J288,"")</f>
        <v>6</v>
      </c>
      <c r="J286" s="224">
        <f>J285+3</f>
        <v>3</v>
      </c>
      <c r="K286" s="506" t="str">
        <f t="shared" si="102"/>
        <v>+Inflat.-P</v>
      </c>
      <c r="L286" s="511" t="e">
        <f>IF(M279="Stufe A",IF(AND(L280="Auswahl treffen",D285&gt;=0,D285&lt;=1000),J279,IF(AND(L280="Vermögend und ambulant",D285&gt;8,D285&lt;=1000),130,IF(AND(L280="Vermögend und ambulant",D285&gt;4,D285&lt;=8),158,IF(AND(L280="Vermögend und ambulant",D285&gt;2,D285&lt;=4),192,IF(AND(L280="Vermögend und ambulant",D285&gt;1,D285&lt;=2),208,IF(AND(L280="Vermögend und ambulant",D285&gt;0,D285&lt;=1),298,IF(AND(L280="Vermögend und stationär",D285&gt;8,D285&lt;=1000),78,IF(AND(L280="Vermögend und stationär",D285&gt;4,D285&lt;=8),91,IF(AND(L280="Vermögend und stationär",D285&gt;2,D285&lt;=4),140,IF(AND(L280="Vermögend und stationär",D285&gt;1,D285&lt;=2),158,IF(AND(L280="Vermögend und stationär",D285&gt;0,D285&lt;=1),200,IF(AND(L280="Mittellos und ambulant",D285&gt;8,D285&lt;=1000),105,IF(AND(L280="Mittellos und ambulant",D285&gt;4,D285&lt;=8),122,IF(AND(L280="Mittellos und ambulant",D285&gt;2,D285&lt;=4),151,IF(AND(L280="Mittellos und ambulant",D285&gt;1,D285&lt;=2),170,IF(AND(L280="Mittellos und ambulant",D285&gt;0,D285&lt;=1),208,IF(AND(L280="Mittellos und stationär",D285&gt;8,D285&lt;=1000),62,IF(AND(L280="Mittellos und stationär",D285&gt;4,D285&lt;=8),87,IF(AND(L280="Mittellos und stationär",D285&gt;2,D285&lt;=4),124,IF(AND(L280="Mittellos und stationär",D285&gt;1,D285&lt;=2),129,IF(AND(L280="Mittellos und stationär",D285&gt;0,D285&lt;=1),194,""))))))))))))))))))))),IF(M279="Stufe B",IF(AND(L280="Auswahl treffen",D285&gt;=0,D285&lt;=1000),J279,IF(AND(L280="Vermögend und ambulant",D285&gt;8,D285&lt;=1000),161,IF(AND(L280="Vermögend und ambulant",D285&gt;4,D285&lt;=8),196,IF(AND(L280="Vermögend und ambulant",D285&gt;2,D285&lt;=4),238,IF(AND(L280="Vermögend und ambulant",D285&gt;1,D285&lt;=2),258,IF(AND(L280="Vermögend und ambulant",D285&gt;0,D285&lt;=1),370,IF(AND(L280="Vermögend und stationär",D285&gt;8,D285&lt;=1000),96,IF(AND(L280="Vermögend und stationär",D285&gt;4,D285&lt;=8),113,IF(AND(L280="Vermögend und stationär",D285&gt;2,D285&lt;=4),174,IF(AND(L280="Vermögend und stationär",D285&gt;1,D285&lt;=2),196,IF(AND(L280="Vermögend und stationär",D285&gt;0,D285&lt;=1),249,IF(AND(L280="Mittellos und ambulant",D285&gt;8,D285&lt;=1000),130,IF(AND(L280="Mittellos und ambulant",D285&gt;4,D285&lt;=8),151,IF(AND(L280="Mittellos und ambulant",D285&gt;2,D285&lt;=4),188,IF(AND(L280="Mittellos und ambulant",D285&gt;1,D285&lt;=2),211,IF(AND(L280="Mittellos und ambulant",D285&gt;0,D285&lt;=1),258,IF(AND(L280="Mittellos und stationär",D285&gt;8,D285&lt;=1000),78,IF(AND(L280="Mittellos und stationär",D285&gt;4,D285&lt;=8),107,IF(AND(L280="Mittellos und stationär",D285&gt;2,D285&lt;=4),154,IF(AND(L280="Mittellos und stationär",D285&gt;1,D285&lt;=2),158,IF(AND(L280="Mittellos und stationär",D285&gt;0,D285&lt;=1),241,""))))))))))))))))))))),IF(M279="Stufe C",IF(AND(L280="Auswahl treffen",D285&gt;=0,D285&lt;=1000),J279,IF(AND(L280="Vermögend und ambulant",D285&gt;8,D285&lt;=1000),211,IF(AND(L280="Vermögend und ambulant",D285&gt;4,D285&lt;=8),257,IF(AND(L280="Vermögend und ambulant",D285&gt;2,D285&lt;=4),312,IF(AND(L280="Vermögend und ambulant",D285&gt;1,D285&lt;=2),339,IF(AND(L280="Vermögend und ambulant",D285&gt;0,D285&lt;=1),486,IF(AND(L280="Vermögend und stationär",D285&gt;8,D285&lt;=1000),127,IF(AND(L280="Vermögend und stationär",D285&gt;4,D285&lt;=8),149,IF(AND(L280="Vermögend und stationär",D285&gt;2,D285&lt;=4),229,IF(AND(L280="Vermögend und stationär",D285&gt;1,D285&lt;=2),257,IF(AND(L280="Vermögend und stationär",D285&gt;0,D285&lt;=1),327,IF(AND(L280="Mittellos und ambulant",D285&gt;8,D285&lt;=1000),171,IF(AND(L280="Mittellos und ambulant",D285&gt;4,D285&lt;=8),198,IF(AND(L280="Mittellos und ambulant",D285&gt;2,D285&lt;=4),246,IF(AND(L280="Mittellos und ambulant",D285&gt;1,D285&lt;=2),277,IF(AND(L280="Mittellos und ambulant",D285&gt;0,D285&lt;=1),339,IF(AND(L280="Mittellos und stationär",D285&gt;8,D285&lt;=1000),102,IF(AND(L280="Mittellos und stationär",D285&gt;4,D285&lt;=8),141,IF(AND(L280="Mittellos und stationär",D285&gt;2,D285&lt;=4),202,IF(AND(L280="Mittellos und stationär",D285&gt;1,D285&lt;=2),208,IF(AND(L280="Mittellos und stationär",D285&gt;0,D285&lt;=1),317,""))))))))))))))))))))),"")))*3+(J279*90)</f>
        <v>#NUM!</v>
      </c>
      <c r="M286" s="507" t="str">
        <f>CONCATENATE(K286, K285)</f>
        <v>+Inflat.-P</v>
      </c>
      <c r="N286" s="206"/>
      <c r="O286" s="207"/>
      <c r="P286" s="206" t="s">
        <v>118</v>
      </c>
      <c r="Q286" s="226"/>
      <c r="R286" s="189"/>
      <c r="S286" s="203"/>
      <c r="T286" s="203"/>
      <c r="U286" s="204"/>
      <c r="V286" s="192"/>
      <c r="W286" s="203"/>
      <c r="X286" s="203"/>
      <c r="Y286" s="204"/>
      <c r="Z286" s="192"/>
      <c r="AA286" s="209" t="s">
        <v>118</v>
      </c>
      <c r="AB286" s="209" t="s">
        <v>117</v>
      </c>
      <c r="AC286" s="204" t="s">
        <v>26</v>
      </c>
      <c r="AD286" s="192"/>
      <c r="AE286" s="203"/>
      <c r="AF286" s="203"/>
      <c r="AG286" s="204"/>
      <c r="AH286" s="193"/>
      <c r="AI286" s="203"/>
      <c r="AJ286" s="203"/>
      <c r="AK286" s="375"/>
      <c r="AL286" s="348" t="s">
        <v>150</v>
      </c>
      <c r="AM286" s="354"/>
      <c r="AN286" s="354"/>
      <c r="AO286" s="354">
        <f>IF(SUM(P280:P288)=SUM(AA280:AA288), 0, SUM(P280:P288)-SUM(AA280:AA288))</f>
        <v>0</v>
      </c>
      <c r="AP286" s="354"/>
      <c r="AQ286" s="350">
        <f>AM286+AN286+AO286+AP286</f>
        <v>0</v>
      </c>
      <c r="AR286" s="769"/>
      <c r="AS286" s="769"/>
      <c r="AT286" s="769"/>
      <c r="AW286"/>
      <c r="AX286"/>
      <c r="AY286" s="280"/>
      <c r="AZ286"/>
      <c r="BA286"/>
      <c r="BB286"/>
      <c r="BC286"/>
      <c r="BD286"/>
      <c r="BE286"/>
      <c r="BF286"/>
      <c r="BG286" s="280"/>
      <c r="BH286"/>
      <c r="BI286"/>
      <c r="BJ286"/>
      <c r="BK286"/>
      <c r="BL286"/>
      <c r="BM286"/>
      <c r="BN286"/>
      <c r="BO286"/>
    </row>
    <row r="287" spans="1:67" ht="22.25" customHeight="1">
      <c r="A287" s="181">
        <f t="shared" si="101"/>
        <v>45292</v>
      </c>
      <c r="B287" s="486"/>
      <c r="C287" s="489" t="s">
        <v>158</v>
      </c>
      <c r="D287" s="522" t="e">
        <f>D285+1</f>
        <v>#NUM!</v>
      </c>
      <c r="E287" s="211" t="e">
        <f>DATE(YEAR(E286),MONTH(E286),DAY(E286)+1)</f>
        <v>#NUM!</v>
      </c>
      <c r="F287" s="227" t="e">
        <f t="shared" si="106"/>
        <v>#NUM!</v>
      </c>
      <c r="G287" s="228" t="e">
        <f t="shared" si="107"/>
        <v>#NUM!</v>
      </c>
      <c r="H287" s="227" t="e">
        <f t="shared" si="108"/>
        <v>#NUM!</v>
      </c>
      <c r="I287" s="231">
        <f>IF(J286&lt;13,J286,"")</f>
        <v>3</v>
      </c>
      <c r="J287" s="230">
        <f>J288+3</f>
        <v>9</v>
      </c>
      <c r="K287" s="501" t="str">
        <f t="shared" si="102"/>
        <v/>
      </c>
      <c r="L287" s="471"/>
      <c r="M287" s="473" t="e">
        <f ca="1">SUM(J280-E288)&amp;" Tage"</f>
        <v>#NUM!</v>
      </c>
      <c r="N287" s="216"/>
      <c r="O287" s="188"/>
      <c r="P287" s="188"/>
      <c r="Q287" s="217"/>
      <c r="R287" s="189"/>
      <c r="S287" s="190"/>
      <c r="T287" s="190"/>
      <c r="U287" s="191"/>
      <c r="V287" s="192"/>
      <c r="W287" s="190"/>
      <c r="X287" s="190"/>
      <c r="Y287" s="191"/>
      <c r="Z287" s="192"/>
      <c r="AA287" s="190"/>
      <c r="AB287" s="190"/>
      <c r="AC287" s="191"/>
      <c r="AD287" s="192"/>
      <c r="AE287" s="190"/>
      <c r="AF287" s="190"/>
      <c r="AG287" s="191"/>
      <c r="AH287" s="193"/>
      <c r="AI287" s="190"/>
      <c r="AJ287" s="190"/>
      <c r="AK287" s="374"/>
      <c r="AL287" s="348"/>
      <c r="AM287" s="354"/>
      <c r="AN287" s="354"/>
      <c r="AO287" s="354"/>
      <c r="AP287" s="354"/>
      <c r="AQ287" s="350"/>
      <c r="AR287" s="769"/>
      <c r="AS287" s="769"/>
      <c r="AT287" s="769"/>
      <c r="AW287"/>
      <c r="AX287"/>
      <c r="AY287" s="280"/>
      <c r="AZ287"/>
      <c r="BA287"/>
      <c r="BB287"/>
      <c r="BC287"/>
      <c r="BD287"/>
      <c r="BE287"/>
      <c r="BF287"/>
      <c r="BG287" s="280"/>
      <c r="BH287"/>
      <c r="BI287"/>
      <c r="BJ287"/>
      <c r="BK287"/>
      <c r="BL287"/>
      <c r="BM287"/>
      <c r="BN287"/>
      <c r="BO287"/>
    </row>
    <row r="288" spans="1:67" ht="22.25" customHeight="1">
      <c r="A288" s="181">
        <f t="shared" si="101"/>
        <v>45292</v>
      </c>
      <c r="B288" s="485"/>
      <c r="C288" s="490"/>
      <c r="D288" s="521"/>
      <c r="E288" s="218" t="e">
        <f>DATE(YEAR(E287),MONTH(E287)+3,DAY(E287)-1)</f>
        <v>#NUM!</v>
      </c>
      <c r="F288" s="227" t="e">
        <f t="shared" si="106"/>
        <v>#NUM!</v>
      </c>
      <c r="G288" s="228" t="e">
        <f t="shared" si="107"/>
        <v>#NUM!</v>
      </c>
      <c r="H288" s="227" t="e">
        <f t="shared" si="108"/>
        <v>#NUM!</v>
      </c>
      <c r="I288" s="231">
        <f>IF(J285&lt;13,J285,"")</f>
        <v>0</v>
      </c>
      <c r="J288" s="230">
        <f>J286+3</f>
        <v>6</v>
      </c>
      <c r="K288" s="506" t="str">
        <f t="shared" si="102"/>
        <v>+Inflat.-P</v>
      </c>
      <c r="L288" s="508" t="e">
        <f>IF(M279="Stufe A",IF(AND(L280="Auswahl treffen",D287&gt;=0,D287&lt;=1000),J279,IF(AND(L280="Vermögend und ambulant",D287&gt;8,D287&lt;=1000),130,IF(AND(L280="Vermögend und ambulant",D287&gt;4,D287&lt;=8),158,IF(AND(L280="Vermögend und ambulant",D287&gt;2,D287&lt;=4),192,IF(AND(L280="Vermögend und ambulant",D287&gt;1,D287&lt;=2),208,IF(AND(L280="Vermögend und ambulant",D287&gt;0,D287&lt;=1),298,IF(AND(L280="Vermögend und stationär",D287&gt;8,D287&lt;=1000),78,IF(AND(L280="Vermögend und stationär",D287&gt;4,D287&lt;=8),91,IF(AND(L280="Vermögend und stationär",D287&gt;2,D287&lt;=4),140,IF(AND(L280="Vermögend und stationär",D287&gt;1,D287&lt;=2),158,IF(AND(L280="Vermögend und stationär",D287&gt;0,D287&lt;=1),200,IF(AND(L280="Mittellos und ambulant",D287&gt;8,D287&lt;=1000),105,IF(AND(L280="Mittellos und ambulant",D287&gt;4,D287&lt;=8),122,IF(AND(L280="Mittellos und ambulant",D287&gt;2,D287&lt;=4),151,IF(AND(L280="Mittellos und ambulant",D287&gt;1,D287&lt;=2),170,IF(AND(L280="Mittellos und ambulant",D287&gt;0,D287&lt;=1),208,IF(AND(L280="Mittellos und stationär",D287&gt;8,D287&lt;=1000),62,IF(AND(L280="Mittellos und stationär",D287&gt;4,D287&lt;=8),87,IF(AND(L280="Mittellos und stationär",D287&gt;2,D287&lt;=4),124,IF(AND(L280="Mittellos und stationär",D287&gt;1,D287&lt;=2),129,IF(AND(L280="Mittellos und stationär",D287&gt;0,D287&lt;=1),194,""))))))))))))))))))))),IF(M279="Stufe B",IF(AND(L280="Auswahl treffen",D287&gt;=0,D287&lt;=1000),J279,IF(AND(L280="Vermögend und ambulant",D287&gt;8,D287&lt;=1000),161,IF(AND(L280="Vermögend und ambulant",D287&gt;4,D287&lt;=8),196,IF(AND(L280="Vermögend und ambulant",D287&gt;2,D287&lt;=4),238,IF(AND(L280="Vermögend und ambulant",D287&gt;1,D287&lt;=2),258,IF(AND(L280="Vermögend und ambulant",D287&gt;0,D287&lt;=1),370,IF(AND(L280="Vermögend und stationär",D287&gt;8,D287&lt;=1000),96,IF(AND(L280="Vermögend und stationär",D287&gt;4,D287&lt;=8),113,IF(AND(L280="Vermögend und stationär",D287&gt;2,D287&lt;=4),174,IF(AND(L280="Vermögend und stationär",D287&gt;1,D287&lt;=2),196,IF(AND(L280="Vermögend und stationär",D287&gt;0,D287&lt;=1),249,IF(AND(L280="Mittellos und ambulant",D287&gt;8,D287&lt;=1000),130,IF(AND(L280="Mittellos und ambulant",D287&gt;4,D287&lt;=8),151,IF(AND(L280="Mittellos und ambulant",D287&gt;2,D287&lt;=4),188,IF(AND(L280="Mittellos und ambulant",D287&gt;1,D287&lt;=2),211,IF(AND(L280="Mittellos und ambulant",D287&gt;0,D287&lt;=1),258,IF(AND(L280="Mittellos und stationär",D287&gt;8,D287&lt;=1000),78,IF(AND(L280="Mittellos und stationär",D287&gt;4,D287&lt;=8),107,IF(AND(L280="Mittellos und stationär",D287&gt;2,D287&lt;=4),154,IF(AND(L280="Mittellos und stationär",D287&gt;1,D287&lt;=2),158,IF(AND(L280="Mittellos und stationär",D287&gt;0,D287&lt;=1),241,""))))))))))))))))))))),IF(M279="Stufe C",IF(AND(L280="Auswahl treffen",D287&gt;=0,D287&lt;=1000),J279,IF(AND(L280="Vermögend und ambulant",D287&gt;8,D287&lt;=1000),211,IF(AND(L280="Vermögend und ambulant",D287&gt;4,D287&lt;=8),257,IF(AND(L280="Vermögend und ambulant",D287&gt;2,D287&lt;=4),312,IF(AND(L280="Vermögend und ambulant",D287&gt;1,D287&lt;=2),339,IF(AND(L280="Vermögend und ambulant",D287&gt;0,D287&lt;=1),486,IF(AND(L280="Vermögend und stationär",D287&gt;8,D287&lt;=1000),127,IF(AND(L280="Vermögend und stationär",D287&gt;4,D287&lt;=8),149,IF(AND(L280="Vermögend und stationär",D287&gt;2,D287&lt;=4),229,IF(AND(L280="Vermögend und stationär",D287&gt;1,D287&lt;=2),257,IF(AND(L280="Vermögend und stationär",D287&gt;0,D287&lt;=1),327,IF(AND(L280="Mittellos und ambulant",D287&gt;8,D287&lt;=1000),171,IF(AND(L280="Mittellos und ambulant",D287&gt;4,D287&lt;=8),198,IF(AND(L280="Mittellos und ambulant",D287&gt;2,D287&lt;=4),246,IF(AND(L280="Mittellos und ambulant",D287&gt;1,D287&lt;=2),277,IF(AND(L280="Mittellos und ambulant",D287&gt;0,D287&lt;=1),339,IF(AND(L280="Mittellos und stationär",D287&gt;8,D287&lt;=1000),102,IF(AND(L280="Mittellos und stationär",D287&gt;4,D287&lt;=8),141,IF(AND(L280="Mittellos und stationär",D287&gt;2,D287&lt;=4),202,IF(AND(L280="Mittellos und stationär",D287&gt;1,D287&lt;=2),208,IF(AND(L280="Mittellos und stationär",D287&gt;0,D287&lt;=1),317,""))))))))))))))))))))),"")))*3+(J279*90)</f>
        <v>#NUM!</v>
      </c>
      <c r="M288" s="507" t="str">
        <f>CONCATENATE(K288, K287)</f>
        <v>+Inflat.-P</v>
      </c>
      <c r="N288" s="216"/>
      <c r="O288" s="188"/>
      <c r="P288" s="188"/>
      <c r="Q288" s="217" t="s">
        <v>118</v>
      </c>
      <c r="R288" s="189"/>
      <c r="S288" s="190"/>
      <c r="T288" s="190"/>
      <c r="U288" s="191"/>
      <c r="V288" s="192"/>
      <c r="W288" s="190"/>
      <c r="X288" s="190"/>
      <c r="Y288" s="191"/>
      <c r="Z288" s="192"/>
      <c r="AA288" s="190"/>
      <c r="AB288" s="190"/>
      <c r="AC288" s="191"/>
      <c r="AD288" s="192"/>
      <c r="AE288" s="190" t="s">
        <v>118</v>
      </c>
      <c r="AF288" s="190" t="s">
        <v>117</v>
      </c>
      <c r="AG288" s="191" t="s">
        <v>26</v>
      </c>
      <c r="AH288" s="193"/>
      <c r="AI288" s="190" t="s">
        <v>118</v>
      </c>
      <c r="AJ288" s="190" t="s">
        <v>117</v>
      </c>
      <c r="AK288" s="374" t="s">
        <v>26</v>
      </c>
      <c r="AL288" s="348" t="s">
        <v>151</v>
      </c>
      <c r="AM288" s="354"/>
      <c r="AN288" s="354"/>
      <c r="AO288" s="354"/>
      <c r="AP288" s="354">
        <f>IF(SUM(Q280:Q288)=SUM(AE280:AE288,AI280:AI288), 0, SUM(Q280:Q288)-SUM(AE280:AE288,AI280:AI288))</f>
        <v>0</v>
      </c>
      <c r="AQ288" s="350">
        <f>AM288+AN288+AO288+AP288</f>
        <v>0</v>
      </c>
      <c r="AR288" s="769"/>
      <c r="AS288" s="769"/>
      <c r="AT288" s="769"/>
      <c r="AW288"/>
      <c r="AX288"/>
      <c r="AY288" s="280"/>
      <c r="AZ288"/>
      <c r="BA288"/>
      <c r="BB288"/>
      <c r="BC288"/>
      <c r="BD288"/>
      <c r="BE288"/>
      <c r="BF288"/>
      <c r="BG288" s="280"/>
      <c r="BH288"/>
      <c r="BI288"/>
      <c r="BJ288"/>
      <c r="BK288"/>
      <c r="BL288"/>
      <c r="BM288"/>
      <c r="BN288"/>
      <c r="BO288"/>
    </row>
    <row r="289" spans="1:67" ht="22" customHeight="1">
      <c r="A289" s="181">
        <f t="shared" si="101"/>
        <v>45292</v>
      </c>
      <c r="B289" s="232" t="s">
        <v>74</v>
      </c>
      <c r="C289" s="233" t="s">
        <v>75</v>
      </c>
      <c r="D289" s="234" t="s">
        <v>76</v>
      </c>
      <c r="E289" s="235" t="s">
        <v>11</v>
      </c>
      <c r="F289" s="235" t="s">
        <v>4</v>
      </c>
      <c r="G289" s="235" t="s">
        <v>5</v>
      </c>
      <c r="H289" s="235" t="s">
        <v>6</v>
      </c>
      <c r="I289" s="236" t="s">
        <v>77</v>
      </c>
      <c r="J289" s="306"/>
      <c r="K289" s="501" t="str">
        <f t="shared" si="102"/>
        <v/>
      </c>
      <c r="L289" s="306" t="str">
        <f>IFERROR(VLOOKUP(B290,'Aktuelle Einnahmen'!A2:J104,10,0),"")</f>
        <v/>
      </c>
      <c r="M289" s="510" t="str">
        <f>M279</f>
        <v>Stufe C</v>
      </c>
      <c r="N289" s="237"/>
      <c r="O289" s="238"/>
      <c r="P289" s="238"/>
      <c r="Q289" s="239"/>
      <c r="R289" s="240"/>
      <c r="S289" s="241"/>
      <c r="T289" s="241"/>
      <c r="U289" s="242"/>
      <c r="V289" s="243"/>
      <c r="W289" s="241"/>
      <c r="X289" s="241"/>
      <c r="Y289" s="242"/>
      <c r="Z289" s="243"/>
      <c r="AA289" s="241"/>
      <c r="AB289" s="241"/>
      <c r="AC289" s="242"/>
      <c r="AD289" s="243"/>
      <c r="AE289" s="241"/>
      <c r="AF289" s="241"/>
      <c r="AG289" s="242"/>
      <c r="AH289" s="240"/>
      <c r="AI289" s="241"/>
      <c r="AJ289" s="241"/>
      <c r="AK289" s="377"/>
      <c r="AL289" s="347"/>
      <c r="AM289" s="353"/>
      <c r="AN289" s="353"/>
      <c r="AO289" s="353"/>
      <c r="AP289" s="353"/>
      <c r="AQ289" s="349"/>
      <c r="AR289" s="768"/>
      <c r="AS289" s="768"/>
      <c r="AT289" s="768"/>
      <c r="AW289"/>
      <c r="AX289"/>
      <c r="AY289" s="280"/>
      <c r="AZ289"/>
      <c r="BA289"/>
      <c r="BB289"/>
      <c r="BC289"/>
      <c r="BD289"/>
      <c r="BE289"/>
      <c r="BF289"/>
      <c r="BG289" s="280"/>
      <c r="BH289"/>
      <c r="BI289"/>
      <c r="BJ289"/>
      <c r="BK289"/>
      <c r="BL289"/>
      <c r="BM289"/>
      <c r="BN289"/>
      <c r="BO289"/>
    </row>
    <row r="290" spans="1:67" ht="23" customHeight="1">
      <c r="A290" s="181">
        <f t="shared" si="101"/>
        <v>45292</v>
      </c>
      <c r="B290" s="182">
        <v>29</v>
      </c>
      <c r="C290" s="245">
        <f>IFERROR(VLOOKUP($B290,'Aktuelle Einnahmen'!A2:G104,3,0),"")</f>
        <v>0</v>
      </c>
      <c r="D290" s="246">
        <f>IFERROR(VLOOKUP($B290,'Aktuelle Einnahmen'!A2:G104,2,0),"")</f>
        <v>0</v>
      </c>
      <c r="E290" s="247">
        <f>IFERROR(VLOOKUP($B290,'Aktuelle Einnahmen'!A2:G104,4,0),"")</f>
        <v>0</v>
      </c>
      <c r="F290" s="94">
        <f>IFERROR(VLOOKUP($B290,'Aktuelle Einnahmen'!A2:G104,5,0),"")</f>
        <v>0</v>
      </c>
      <c r="G290" s="94">
        <f>IFERROR(VLOOKUP($B290,'Aktuelle Einnahmen'!A2:G104,6,0),"")</f>
        <v>0</v>
      </c>
      <c r="H290" s="94">
        <f>IFERROR(VLOOKUP($B290,'Aktuelle Einnahmen'!A2:G104,7,0),"")</f>
        <v>0</v>
      </c>
      <c r="I290" s="186" t="e">
        <f>DATE(H290,G290,F290)</f>
        <v>#NUM!</v>
      </c>
      <c r="J290" s="472">
        <f ca="1">J280</f>
        <v>45475</v>
      </c>
      <c r="K290" s="506" t="str">
        <f t="shared" si="102"/>
        <v>+Inflat.-P</v>
      </c>
      <c r="L290" s="1262" t="str">
        <f>IFERROR(VLOOKUP(B290,'Aktuelle Einnahmen'!A12:I114,9,0),"")</f>
        <v>Auswahl treffen</v>
      </c>
      <c r="M290" s="1263"/>
      <c r="N290" s="261"/>
      <c r="O290" s="261"/>
      <c r="P290" s="261"/>
      <c r="Q290" s="261"/>
      <c r="R290" s="189"/>
      <c r="S290" s="190"/>
      <c r="T290" s="190"/>
      <c r="U290" s="191"/>
      <c r="V290" s="192"/>
      <c r="W290" s="190"/>
      <c r="X290" s="190"/>
      <c r="Y290" s="191"/>
      <c r="Z290" s="192"/>
      <c r="AA290" s="190"/>
      <c r="AB290" s="190"/>
      <c r="AC290" s="191"/>
      <c r="AD290" s="192"/>
      <c r="AE290" s="190"/>
      <c r="AF290" s="190"/>
      <c r="AG290" s="191"/>
      <c r="AH290" s="193"/>
      <c r="AI290" s="190"/>
      <c r="AJ290" s="190"/>
      <c r="AK290" s="374"/>
      <c r="AL290" s="348"/>
      <c r="AM290" s="354"/>
      <c r="AN290" s="354"/>
      <c r="AO290" s="354"/>
      <c r="AP290" s="354"/>
      <c r="AQ290" s="350"/>
      <c r="AR290" s="769"/>
      <c r="AS290" s="769"/>
      <c r="AT290" s="769"/>
      <c r="AW290"/>
      <c r="AX290"/>
      <c r="AY290" s="280"/>
      <c r="AZ290"/>
      <c r="BA290"/>
      <c r="BB290"/>
      <c r="BC290"/>
      <c r="BD290"/>
      <c r="BE290"/>
      <c r="BF290"/>
      <c r="BG290" s="280"/>
      <c r="BH290"/>
      <c r="BI290"/>
      <c r="BJ290"/>
      <c r="BK290"/>
      <c r="BL290"/>
      <c r="BM290"/>
      <c r="BN290"/>
      <c r="BO290"/>
    </row>
    <row r="291" spans="1:67" ht="22.25" customHeight="1">
      <c r="A291" s="181">
        <f t="shared" si="101"/>
        <v>45292</v>
      </c>
      <c r="B291" s="484" t="e">
        <f>DAY(I290)</f>
        <v>#NUM!</v>
      </c>
      <c r="C291" s="489" t="s">
        <v>158</v>
      </c>
      <c r="D291" s="520" t="e">
        <f>(I291*4)+J291/3+1</f>
        <v>#NUM!</v>
      </c>
      <c r="E291" s="194" t="e">
        <f>J293+1</f>
        <v>#NUM!</v>
      </c>
      <c r="F291" s="195" t="e">
        <f t="shared" ref="F291:F298" si="109">DAY(E291)</f>
        <v>#NUM!</v>
      </c>
      <c r="G291" s="196" t="e">
        <f t="shared" ref="G291:G298" si="110">MONTH(E291)</f>
        <v>#NUM!</v>
      </c>
      <c r="H291" s="195" t="e">
        <f t="shared" ref="H291:H298" si="111">YEAR(E291)</f>
        <v>#NUM!</v>
      </c>
      <c r="I291" s="197" t="e">
        <f>H291-(H290+2000)</f>
        <v>#NUM!</v>
      </c>
      <c r="J291" s="198" t="e">
        <f>G291-G290</f>
        <v>#NUM!</v>
      </c>
      <c r="K291" s="506" t="str">
        <f>L289</f>
        <v/>
      </c>
      <c r="L291" s="469"/>
      <c r="M291" s="473" t="e">
        <f ca="1">SUM(J290-E292)&amp;" Tage"</f>
        <v>#NUM!</v>
      </c>
      <c r="N291" s="206"/>
      <c r="O291" s="201"/>
      <c r="P291" s="201"/>
      <c r="Q291" s="202"/>
      <c r="R291" s="189"/>
      <c r="S291" s="203"/>
      <c r="T291" s="203"/>
      <c r="U291" s="204"/>
      <c r="V291" s="192"/>
      <c r="W291" s="203"/>
      <c r="X291" s="203"/>
      <c r="Y291" s="204"/>
      <c r="Z291" s="192"/>
      <c r="AA291" s="203"/>
      <c r="AB291" s="203"/>
      <c r="AC291" s="204"/>
      <c r="AD291" s="192"/>
      <c r="AE291" s="203"/>
      <c r="AF291" s="203"/>
      <c r="AG291" s="204"/>
      <c r="AH291" s="193"/>
      <c r="AI291" s="203"/>
      <c r="AJ291" s="203"/>
      <c r="AK291" s="375"/>
      <c r="AL291" s="348"/>
      <c r="AM291" s="354"/>
      <c r="AN291" s="354"/>
      <c r="AO291" s="354"/>
      <c r="AP291" s="354"/>
      <c r="AQ291" s="350"/>
      <c r="AR291" s="769"/>
      <c r="AS291" s="769"/>
      <c r="AT291" s="769"/>
      <c r="AW291"/>
      <c r="AX291"/>
      <c r="AY291" s="280"/>
      <c r="AZ291"/>
      <c r="BA291"/>
      <c r="BB291"/>
      <c r="BC291"/>
      <c r="BD291"/>
      <c r="BE291"/>
      <c r="BF291"/>
      <c r="BG291" s="280"/>
      <c r="BH291"/>
      <c r="BI291"/>
      <c r="BJ291"/>
      <c r="BK291"/>
      <c r="BL291"/>
      <c r="BM291"/>
      <c r="BN291"/>
      <c r="BO291"/>
    </row>
    <row r="292" spans="1:67" ht="22.25" customHeight="1">
      <c r="A292" s="181">
        <f t="shared" si="101"/>
        <v>45292</v>
      </c>
      <c r="B292" s="485"/>
      <c r="C292" s="490"/>
      <c r="D292" s="521"/>
      <c r="E292" s="194" t="e">
        <f>DATE(YEAR(E291),MONTH(E291)+3,DAY(E291)-1)</f>
        <v>#NUM!</v>
      </c>
      <c r="F292" s="195" t="e">
        <f t="shared" si="109"/>
        <v>#NUM!</v>
      </c>
      <c r="G292" s="196" t="e">
        <f t="shared" si="110"/>
        <v>#NUM!</v>
      </c>
      <c r="H292" s="195" t="e">
        <f t="shared" si="111"/>
        <v>#NUM!</v>
      </c>
      <c r="I292" s="244">
        <v>-1</v>
      </c>
      <c r="J292" s="198" t="e">
        <f>F291-F290</f>
        <v>#NUM!</v>
      </c>
      <c r="K292" s="501" t="str">
        <f t="shared" si="102"/>
        <v>+Inflat.-P</v>
      </c>
      <c r="L292" s="511" t="e">
        <f>IF(M289="Stufe A",IF(AND(L290="Auswahl treffen",D291&gt;=0,D291&lt;=1000),J289,IF(AND(L290="Vermögend und ambulant",D291&gt;8,D291&lt;=1000),130,IF(AND(L290="Vermögend und ambulant",D291&gt;4,D291&lt;=8),158,IF(AND(L290="Vermögend und ambulant",D291&gt;2,D291&lt;=4),192,IF(AND(L290="Vermögend und ambulant",D291&gt;1,D291&lt;=2),208,IF(AND(L290="Vermögend und ambulant",D291&gt;0,D291&lt;=1),298,IF(AND(L290="Vermögend und stationär",D291&gt;8,D291&lt;=1000),78,IF(AND(L290="Vermögend und stationär",D291&gt;4,D291&lt;=8),91,IF(AND(L290="Vermögend und stationär",D291&gt;2,D291&lt;=4),140,IF(AND(L290="Vermögend und stationär",D291&gt;1,D291&lt;=2),158,IF(AND(L290="Vermögend und stationär",D291&gt;0,D291&lt;=1),200,IF(AND(L290="Mittellos und ambulant",D291&gt;8,D291&lt;=1000),105,IF(AND(L290="Mittellos und ambulant",D291&gt;4,D291&lt;=8),122,IF(AND(L290="Mittellos und ambulant",D291&gt;2,D291&lt;=4),151,IF(AND(L290="Mittellos und ambulant",D291&gt;1,D291&lt;=2),170,IF(AND(L290="Mittellos und ambulant",D291&gt;0,D291&lt;=1),208,IF(AND(L290="Mittellos und stationär",D291&gt;8,D291&lt;=1000),62,IF(AND(L290="Mittellos und stationär",D291&gt;4,D291&lt;=8),87,IF(AND(L290="Mittellos und stationär",D291&gt;2,D291&lt;=4),124,IF(AND(L290="Mittellos und stationär",D291&gt;1,D291&lt;=2),129,IF(AND(L290="Mittellos und stationär",D291&gt;0,D291&lt;=1),194,""))))))))))))))))))))),IF(M289="Stufe B",IF(AND(L290="Auswahl treffen",D291&gt;=0,D291&lt;=1000),J289,IF(AND(L290="Vermögend und ambulant",D291&gt;8,D291&lt;=1000),161,IF(AND(L290="Vermögend und ambulant",D291&gt;4,D291&lt;=8),196,IF(AND(L290="Vermögend und ambulant",D291&gt;2,D291&lt;=4),238,IF(AND(L290="Vermögend und ambulant",D291&gt;1,D291&lt;=2),258,IF(AND(L290="Vermögend und ambulant",D291&gt;0,D291&lt;=1),370,IF(AND(L290="Vermögend und stationär",D291&gt;8,D291&lt;=1000),96,IF(AND(L290="Vermögend und stationär",D291&gt;4,D291&lt;=8),113,IF(AND(L290="Vermögend und stationär",D291&gt;2,D291&lt;=4),174,IF(AND(L290="Vermögend und stationär",D291&gt;1,D291&lt;=2),196,IF(AND(L290="Vermögend und stationär",D291&gt;0,D291&lt;=1),249,IF(AND(L290="Mittellos und ambulant",D291&gt;8,D291&lt;=1000),130,IF(AND(L290="Mittellos und ambulant",D291&gt;4,D291&lt;=8),151,IF(AND(L290="Mittellos und ambulant",D291&gt;2,D291&lt;=4),188,IF(AND(L290="Mittellos und ambulant",D291&gt;1,D291&lt;=2),211,IF(AND(L290="Mittellos und ambulant",D291&gt;0,D291&lt;=1),258,IF(AND(L290="Mittellos und stationär",D291&gt;8,D291&lt;=1000),78,IF(AND(L290="Mittellos und stationär",D291&gt;4,D291&lt;=8),107,IF(AND(L290="Mittellos und stationär",D291&gt;2,D291&lt;=4),154,IF(AND(L290="Mittellos und stationär",D291&gt;1,D291&lt;=2),158,IF(AND(L290="Mittellos und stationär",D291&gt;0,D291&lt;=1),241,""))))))))))))))))))))),IF(M289="Stufe C",IF(AND(L290="Auswahl treffen",D291&gt;=0,D291&lt;=1000),J289,IF(AND(L290="Vermögend und ambulant",D291&gt;8,D291&lt;=1000),211,IF(AND(L290="Vermögend und ambulant",D291&gt;4,D291&lt;=8),257,IF(AND(L290="Vermögend und ambulant",D291&gt;2,D291&lt;=4),312,IF(AND(L290="Vermögend und ambulant",D291&gt;1,D291&lt;=2),339,IF(AND(L290="Vermögend und ambulant",D291&gt;0,D291&lt;=1),486,IF(AND(L290="Vermögend und stationär",D291&gt;8,D291&lt;=1000),127,IF(AND(L290="Vermögend und stationär",D291&gt;4,D291&lt;=8),149,IF(AND(L290="Vermögend und stationär",D291&gt;2,D291&lt;=4),229,IF(AND(L290="Vermögend und stationär",D291&gt;1,D291&lt;=2),257,IF(AND(L290="Vermögend und stationär",D291&gt;0,D291&lt;=1),327,IF(AND(L290="Mittellos und ambulant",D291&gt;8,D291&lt;=1000),171,IF(AND(L290="Mittellos und ambulant",D291&gt;4,D291&lt;=8),198,IF(AND(L290="Mittellos und ambulant",D291&gt;2,D291&lt;=4),246,IF(AND(L290="Mittellos und ambulant",D291&gt;1,D291&lt;=2),277,IF(AND(L290="Mittellos und ambulant",D291&gt;0,D291&lt;=1),339,IF(AND(L290="Mittellos und stationär",D291&gt;8,D291&lt;=1000),102,IF(AND(L290="Mittellos und stationär",D291&gt;4,D291&lt;=8),141,IF(AND(L290="Mittellos und stationär",D291&gt;2,D291&lt;=4),202,IF(AND(L290="Mittellos und stationär",D291&gt;1,D291&lt;=2),208,IF(AND(L290="Mittellos und stationär",D291&gt;0,D291&lt;=1),317,""))))))))))))))))))))),"")))*3+(J289*90)</f>
        <v>#NUM!</v>
      </c>
      <c r="M292" s="507" t="str">
        <f>CONCATENATE(K292, K291)</f>
        <v>+Inflat.-P</v>
      </c>
      <c r="N292" s="206" t="s">
        <v>118</v>
      </c>
      <c r="O292" s="207"/>
      <c r="P292" s="207"/>
      <c r="Q292" s="208"/>
      <c r="R292" s="187"/>
      <c r="S292" s="209" t="s">
        <v>118</v>
      </c>
      <c r="T292" s="201" t="s">
        <v>117</v>
      </c>
      <c r="U292" s="210" t="s">
        <v>26</v>
      </c>
      <c r="V292" s="192"/>
      <c r="W292" s="203"/>
      <c r="X292" s="203"/>
      <c r="Y292" s="210"/>
      <c r="Z292" s="192"/>
      <c r="AA292" s="203"/>
      <c r="AB292" s="203"/>
      <c r="AC292" s="210"/>
      <c r="AD292" s="192"/>
      <c r="AE292" s="203"/>
      <c r="AF292" s="203"/>
      <c r="AG292" s="210"/>
      <c r="AH292" s="193"/>
      <c r="AI292" s="203"/>
      <c r="AJ292" s="203"/>
      <c r="AK292" s="376"/>
      <c r="AL292" s="348" t="s">
        <v>148</v>
      </c>
      <c r="AM292" s="354">
        <f>IF(SUM(N290:N298)=SUM(S290:S298), 0, SUM(N290:N298)-SUM(S290:S298))</f>
        <v>0</v>
      </c>
      <c r="AN292" s="354"/>
      <c r="AO292" s="354"/>
      <c r="AP292" s="354"/>
      <c r="AQ292" s="350">
        <f>AM292+AN292+AO292+AP292</f>
        <v>0</v>
      </c>
      <c r="AR292" s="769"/>
      <c r="AS292" s="769"/>
      <c r="AT292" s="769"/>
      <c r="AW292"/>
      <c r="AX292"/>
      <c r="AY292" s="280"/>
      <c r="AZ292"/>
      <c r="BA292"/>
      <c r="BB292"/>
      <c r="BC292"/>
      <c r="BD292"/>
      <c r="BE292"/>
      <c r="BF292"/>
      <c r="BG292" s="280"/>
      <c r="BH292"/>
      <c r="BI292"/>
      <c r="BJ292"/>
      <c r="BK292"/>
      <c r="BL292"/>
      <c r="BM292"/>
      <c r="BN292"/>
      <c r="BO292"/>
    </row>
    <row r="293" spans="1:67" ht="22.25" customHeight="1">
      <c r="A293" s="181">
        <f t="shared" si="101"/>
        <v>45292</v>
      </c>
      <c r="B293" s="484" t="e">
        <f>MONTH(I290)</f>
        <v>#NUM!</v>
      </c>
      <c r="C293" s="489" t="s">
        <v>158</v>
      </c>
      <c r="D293" s="522" t="e">
        <f>D291+1</f>
        <v>#NUM!</v>
      </c>
      <c r="E293" s="211" t="e">
        <f>DATE(YEAR(E292),MONTH(E292),DAY(E292)+1)</f>
        <v>#NUM!</v>
      </c>
      <c r="F293" s="212" t="e">
        <f t="shared" si="109"/>
        <v>#NUM!</v>
      </c>
      <c r="G293" s="213" t="e">
        <f t="shared" si="110"/>
        <v>#NUM!</v>
      </c>
      <c r="H293" s="212" t="e">
        <f t="shared" si="111"/>
        <v>#NUM!</v>
      </c>
      <c r="I293" s="214" t="str">
        <f>IF(D290&lt;&gt;0,"-1T","")</f>
        <v/>
      </c>
      <c r="J293" s="215" t="e">
        <f>DATE($B295,I294,$B291)</f>
        <v>#NUM!</v>
      </c>
      <c r="K293" s="506" t="str">
        <f t="shared" si="102"/>
        <v/>
      </c>
      <c r="L293" s="470"/>
      <c r="M293" s="473" t="e">
        <f ca="1">SUM(J290-E294)&amp;" Tage"</f>
        <v>#NUM!</v>
      </c>
      <c r="N293" s="216"/>
      <c r="O293" s="217"/>
      <c r="P293" s="188"/>
      <c r="Q293" s="217"/>
      <c r="R293" s="189"/>
      <c r="S293" s="190"/>
      <c r="T293" s="190"/>
      <c r="U293" s="191"/>
      <c r="V293" s="192"/>
      <c r="W293" s="190"/>
      <c r="X293" s="190"/>
      <c r="Y293" s="191"/>
      <c r="Z293" s="192"/>
      <c r="AA293" s="190"/>
      <c r="AB293" s="190"/>
      <c r="AC293" s="191"/>
      <c r="AD293" s="192"/>
      <c r="AE293" s="190"/>
      <c r="AF293" s="190"/>
      <c r="AG293" s="191"/>
      <c r="AH293" s="193"/>
      <c r="AI293" s="190"/>
      <c r="AJ293" s="190"/>
      <c r="AK293" s="374"/>
      <c r="AL293" s="348"/>
      <c r="AM293" s="354"/>
      <c r="AN293" s="354"/>
      <c r="AO293" s="354"/>
      <c r="AP293" s="354"/>
      <c r="AQ293" s="350"/>
      <c r="AR293" s="769"/>
      <c r="AS293" s="769"/>
      <c r="AT293" s="769"/>
      <c r="AW293"/>
      <c r="AX293"/>
      <c r="AY293" s="280"/>
      <c r="AZ293"/>
      <c r="BA293"/>
      <c r="BB293"/>
      <c r="BC293"/>
      <c r="BD293"/>
      <c r="BE293"/>
      <c r="BF293"/>
      <c r="BG293" s="280"/>
      <c r="BH293"/>
      <c r="BI293"/>
      <c r="BJ293"/>
      <c r="BK293"/>
      <c r="BL293"/>
      <c r="BM293"/>
      <c r="BN293"/>
      <c r="BO293"/>
    </row>
    <row r="294" spans="1:67" ht="22.25" customHeight="1">
      <c r="A294" s="181">
        <f t="shared" si="101"/>
        <v>45292</v>
      </c>
      <c r="B294" s="485"/>
      <c r="C294" s="490"/>
      <c r="D294" s="521"/>
      <c r="E294" s="218" t="e">
        <f>DATE(YEAR(E293),MONTH(E293)+3,DAY(E293)-1)</f>
        <v>#NUM!</v>
      </c>
      <c r="F294" s="212" t="e">
        <f t="shared" si="109"/>
        <v>#NUM!</v>
      </c>
      <c r="G294" s="213" t="e">
        <f t="shared" si="110"/>
        <v>#NUM!</v>
      </c>
      <c r="H294" s="212" t="e">
        <f t="shared" si="111"/>
        <v>#NUM!</v>
      </c>
      <c r="I294" s="219">
        <f>MAX(I295:I298)</f>
        <v>9</v>
      </c>
      <c r="J294" s="220" t="e">
        <f>DATE(YEAR(J293)+1,MONTH(J293),DAY(J293))</f>
        <v>#NUM!</v>
      </c>
      <c r="K294" s="501" t="str">
        <f t="shared" si="102"/>
        <v>+Inflat.-P</v>
      </c>
      <c r="L294" s="508" t="e">
        <f>IF(M289="Stufe A",IF(AND(L290="Auswahl treffen",D293&gt;=0,D293&lt;=1000),J289,IF(AND(L290="Vermögend und ambulant",D293&gt;8,D293&lt;=1000),130,IF(AND(L290="Vermögend und ambulant",D293&gt;4,D293&lt;=8),158,IF(AND(L290="Vermögend und ambulant",D293&gt;2,D293&lt;=4),192,IF(AND(L290="Vermögend und ambulant",D293&gt;1,D293&lt;=2),208,IF(AND(L290="Vermögend und ambulant",D293&gt;0,D293&lt;=1),298,IF(AND(L290="Vermögend und stationär",D293&gt;8,D293&lt;=1000),78,IF(AND(L290="Vermögend und stationär",D293&gt;4,D293&lt;=8),91,IF(AND(L290="Vermögend und stationär",D293&gt;2,D293&lt;=4),140,IF(AND(L290="Vermögend und stationär",D293&gt;1,D293&lt;=2),158,IF(AND(L290="Vermögend und stationär",D293&gt;0,D293&lt;=1),200,IF(AND(L290="Mittellos und ambulant",D293&gt;8,D293&lt;=1000),105,IF(AND(L290="Mittellos und ambulant",D293&gt;4,D293&lt;=8),122,IF(AND(L290="Mittellos und ambulant",D293&gt;2,D293&lt;=4),151,IF(AND(L290="Mittellos und ambulant",D293&gt;1,D293&lt;=2),170,IF(AND(L290="Mittellos und ambulant",D293&gt;0,D293&lt;=1),208,IF(AND(L290="Mittellos und stationär",D293&gt;8,D293&lt;=1000),62,IF(AND(L290="Mittellos und stationär",D293&gt;4,D293&lt;=8),87,IF(AND(L290="Mittellos und stationär",D293&gt;2,D293&lt;=4),124,IF(AND(L290="Mittellos und stationär",D293&gt;1,D293&lt;=2),129,IF(AND(L290="Mittellos und stationär",D293&gt;0,D293&lt;=1),194,""))))))))))))))))))))),IF(M289="Stufe B",IF(AND(L290="Auswahl treffen",D293&gt;=0,D293&lt;=1000),J289,IF(AND(L290="Vermögend und ambulant",D293&gt;8,D293&lt;=1000),161,IF(AND(L290="Vermögend und ambulant",D293&gt;4,D293&lt;=8),196,IF(AND(L290="Vermögend und ambulant",D293&gt;2,D293&lt;=4),238,IF(AND(L290="Vermögend und ambulant",D293&gt;1,D293&lt;=2),258,IF(AND(L290="Vermögend und ambulant",D293&gt;0,D293&lt;=1),370,IF(AND(L290="Vermögend und stationär",D293&gt;8,D293&lt;=1000),96,IF(AND(L290="Vermögend und stationär",D293&gt;4,D293&lt;=8),113,IF(AND(L290="Vermögend und stationär",D293&gt;2,D293&lt;=4),174,IF(AND(L290="Vermögend und stationär",D293&gt;1,D293&lt;=2),196,IF(AND(L290="Vermögend und stationär",D293&gt;0,D293&lt;=1),249,IF(AND(L290="Mittellos und ambulant",D293&gt;8,D293&lt;=1000),130,IF(AND(L290="Mittellos und ambulant",D293&gt;4,D293&lt;=8),151,IF(AND(L290="Mittellos und ambulant",D293&gt;2,D293&lt;=4),188,IF(AND(L290="Mittellos und ambulant",D293&gt;1,D293&lt;=2),211,IF(AND(L290="Mittellos und ambulant",D293&gt;0,D293&lt;=1),258,IF(AND(L290="Mittellos und stationär",D293&gt;8,D293&lt;=1000),78,IF(AND(L290="Mittellos und stationär",D293&gt;4,D293&lt;=8),107,IF(AND(L290="Mittellos und stationär",D293&gt;2,D293&lt;=4),154,IF(AND(L290="Mittellos und stationär",D293&gt;1,D293&lt;=2),158,IF(AND(L290="Mittellos und stationär",D293&gt;0,D293&lt;=1),241,""))))))))))))))))))))),IF(M289="Stufe C",IF(AND(L290="Auswahl treffen",D293&gt;=0,D293&lt;=1000),J289,IF(AND(L290="Vermögend und ambulant",D293&gt;8,D293&lt;=1000),211,IF(AND(L290="Vermögend und ambulant",D293&gt;4,D293&lt;=8),257,IF(AND(L290="Vermögend und ambulant",D293&gt;2,D293&lt;=4),312,IF(AND(L290="Vermögend und ambulant",D293&gt;1,D293&lt;=2),339,IF(AND(L290="Vermögend und ambulant",D293&gt;0,D293&lt;=1),486,IF(AND(L290="Vermögend und stationär",D293&gt;8,D293&lt;=1000),127,IF(AND(L290="Vermögend und stationär",D293&gt;4,D293&lt;=8),149,IF(AND(L290="Vermögend und stationär",D293&gt;2,D293&lt;=4),229,IF(AND(L290="Vermögend und stationär",D293&gt;1,D293&lt;=2),257,IF(AND(L290="Vermögend und stationär",D293&gt;0,D293&lt;=1),327,IF(AND(L290="Mittellos und ambulant",D293&gt;8,D293&lt;=1000),171,IF(AND(L290="Mittellos und ambulant",D293&gt;4,D293&lt;=8),198,IF(AND(L290="Mittellos und ambulant",D293&gt;2,D293&lt;=4),246,IF(AND(L290="Mittellos und ambulant",D293&gt;1,D293&lt;=2),277,IF(AND(L290="Mittellos und ambulant",D293&gt;0,D293&lt;=1),339,IF(AND(L290="Mittellos und stationär",D293&gt;8,D293&lt;=1000),102,IF(AND(L290="Mittellos und stationär",D293&gt;4,D293&lt;=8),141,IF(AND(L290="Mittellos und stationär",D293&gt;2,D293&lt;=4),202,IF(AND(L290="Mittellos und stationär",D293&gt;1,D293&lt;=2),208,IF(AND(L290="Mittellos und stationär",D293&gt;0,D293&lt;=1),317,""))))))))))))))))))))),"")))*3+(J289*90)</f>
        <v>#NUM!</v>
      </c>
      <c r="M294" s="507" t="str">
        <f>CONCATENATE(K294, K293)</f>
        <v>+Inflat.-P</v>
      </c>
      <c r="N294" s="216"/>
      <c r="O294" s="188" t="s">
        <v>118</v>
      </c>
      <c r="P294" s="188"/>
      <c r="Q294" s="221"/>
      <c r="R294" s="199"/>
      <c r="S294" s="190"/>
      <c r="T294" s="190"/>
      <c r="U294" s="191"/>
      <c r="V294" s="192"/>
      <c r="W294" s="222" t="s">
        <v>118</v>
      </c>
      <c r="X294" s="222" t="s">
        <v>117</v>
      </c>
      <c r="Y294" s="191" t="s">
        <v>26</v>
      </c>
      <c r="Z294" s="192"/>
      <c r="AA294" s="190"/>
      <c r="AB294" s="190"/>
      <c r="AC294" s="191"/>
      <c r="AD294" s="192"/>
      <c r="AE294" s="190"/>
      <c r="AF294" s="190"/>
      <c r="AG294" s="191"/>
      <c r="AH294" s="193"/>
      <c r="AI294" s="190"/>
      <c r="AJ294" s="190"/>
      <c r="AK294" s="374"/>
      <c r="AL294" s="348" t="s">
        <v>149</v>
      </c>
      <c r="AM294" s="354"/>
      <c r="AN294" s="354">
        <f>IF(SUM(O290:O298)=SUM(W290:W298), 0, SUM(O290:O298)-SUM(W290:W298))</f>
        <v>0</v>
      </c>
      <c r="AO294" s="354"/>
      <c r="AP294" s="354"/>
      <c r="AQ294" s="350">
        <f>AM294+AN294+AO294+AP294</f>
        <v>0</v>
      </c>
      <c r="AR294" s="769"/>
      <c r="AS294" s="769"/>
      <c r="AT294" s="769"/>
      <c r="AW294"/>
      <c r="AX294"/>
      <c r="AY294" s="280"/>
      <c r="AZ294"/>
      <c r="BA294"/>
      <c r="BB294"/>
      <c r="BC294"/>
      <c r="BD294"/>
      <c r="BE294"/>
      <c r="BF294"/>
      <c r="BG294" s="280"/>
      <c r="BH294"/>
      <c r="BI294"/>
      <c r="BJ294"/>
      <c r="BK294"/>
      <c r="BL294"/>
      <c r="BM294"/>
      <c r="BN294"/>
      <c r="BO294"/>
    </row>
    <row r="295" spans="1:67" ht="22.25" customHeight="1">
      <c r="A295" s="181">
        <f t="shared" si="101"/>
        <v>45292</v>
      </c>
      <c r="B295" s="484">
        <f>YEAR($A296)-1</f>
        <v>2023</v>
      </c>
      <c r="C295" s="489" t="s">
        <v>158</v>
      </c>
      <c r="D295" s="520" t="e">
        <f>D293+1</f>
        <v>#NUM!</v>
      </c>
      <c r="E295" s="194" t="e">
        <f>DATE(YEAR(E294),MONTH(E294),DAY(E294)+1)</f>
        <v>#NUM!</v>
      </c>
      <c r="F295" s="195" t="e">
        <f t="shared" si="109"/>
        <v>#NUM!</v>
      </c>
      <c r="G295" s="196" t="e">
        <f t="shared" si="110"/>
        <v>#NUM!</v>
      </c>
      <c r="H295" s="195" t="e">
        <f t="shared" si="111"/>
        <v>#NUM!</v>
      </c>
      <c r="I295" s="197">
        <f>IF(J297&lt;13,J297,"")</f>
        <v>9</v>
      </c>
      <c r="J295" s="224">
        <f>G290</f>
        <v>0</v>
      </c>
      <c r="K295" s="506" t="str">
        <f t="shared" si="102"/>
        <v/>
      </c>
      <c r="L295" s="471"/>
      <c r="M295" s="473" t="e">
        <f ca="1">SUM(J290-E296)&amp;" Tage"</f>
        <v>#NUM!</v>
      </c>
      <c r="N295" s="200"/>
      <c r="O295" s="201"/>
      <c r="P295" s="201"/>
      <c r="Q295" s="202"/>
      <c r="R295" s="189"/>
      <c r="S295" s="203"/>
      <c r="T295" s="203"/>
      <c r="U295" s="204"/>
      <c r="V295" s="192"/>
      <c r="W295" s="203"/>
      <c r="X295" s="203"/>
      <c r="Y295" s="204"/>
      <c r="Z295" s="192"/>
      <c r="AA295" s="203"/>
      <c r="AB295" s="203"/>
      <c r="AC295" s="204"/>
      <c r="AD295" s="192"/>
      <c r="AE295" s="203"/>
      <c r="AF295" s="203"/>
      <c r="AG295" s="204"/>
      <c r="AH295" s="193"/>
      <c r="AI295" s="203"/>
      <c r="AJ295" s="203"/>
      <c r="AK295" s="375"/>
      <c r="AL295" s="348"/>
      <c r="AM295" s="354"/>
      <c r="AN295" s="354"/>
      <c r="AO295" s="354"/>
      <c r="AP295" s="354"/>
      <c r="AQ295" s="350"/>
      <c r="AR295" s="769"/>
      <c r="AS295" s="769"/>
      <c r="AT295" s="769"/>
      <c r="AW295"/>
      <c r="AX295"/>
      <c r="AY295" s="280"/>
      <c r="AZ295"/>
      <c r="BA295"/>
      <c r="BB295"/>
      <c r="BC295"/>
      <c r="BD295"/>
      <c r="BE295"/>
      <c r="BF295"/>
      <c r="BG295" s="280"/>
      <c r="BH295"/>
      <c r="BI295"/>
      <c r="BJ295"/>
      <c r="BK295"/>
      <c r="BL295"/>
      <c r="BM295"/>
      <c r="BN295"/>
      <c r="BO295"/>
    </row>
    <row r="296" spans="1:67" ht="22.25" customHeight="1">
      <c r="A296" s="181">
        <f t="shared" si="101"/>
        <v>45292</v>
      </c>
      <c r="B296" s="485"/>
      <c r="C296" s="490"/>
      <c r="D296" s="521"/>
      <c r="E296" s="194" t="e">
        <f>DATE(YEAR(E295),MONTH(E295)+3,DAY(E295)-1)</f>
        <v>#NUM!</v>
      </c>
      <c r="F296" s="195" t="e">
        <f t="shared" si="109"/>
        <v>#NUM!</v>
      </c>
      <c r="G296" s="196" t="e">
        <f t="shared" si="110"/>
        <v>#NUM!</v>
      </c>
      <c r="H296" s="195" t="e">
        <f t="shared" si="111"/>
        <v>#NUM!</v>
      </c>
      <c r="I296" s="244">
        <f>IF(J298&lt;13,J298,"")</f>
        <v>6</v>
      </c>
      <c r="J296" s="224">
        <f>J295+3</f>
        <v>3</v>
      </c>
      <c r="K296" s="501" t="str">
        <f t="shared" si="102"/>
        <v>+Inflat.-P</v>
      </c>
      <c r="L296" s="511" t="e">
        <f>IF(M289="Stufe A",IF(AND(L290="Auswahl treffen",D295&gt;=0,D295&lt;=1000),J289,IF(AND(L290="Vermögend und ambulant",D295&gt;8,D295&lt;=1000),130,IF(AND(L290="Vermögend und ambulant",D295&gt;4,D295&lt;=8),158,IF(AND(L290="Vermögend und ambulant",D295&gt;2,D295&lt;=4),192,IF(AND(L290="Vermögend und ambulant",D295&gt;1,D295&lt;=2),208,IF(AND(L290="Vermögend und ambulant",D295&gt;0,D295&lt;=1),298,IF(AND(L290="Vermögend und stationär",D295&gt;8,D295&lt;=1000),78,IF(AND(L290="Vermögend und stationär",D295&gt;4,D295&lt;=8),91,IF(AND(L290="Vermögend und stationär",D295&gt;2,D295&lt;=4),140,IF(AND(L290="Vermögend und stationär",D295&gt;1,D295&lt;=2),158,IF(AND(L290="Vermögend und stationär",D295&gt;0,D295&lt;=1),200,IF(AND(L290="Mittellos und ambulant",D295&gt;8,D295&lt;=1000),105,IF(AND(L290="Mittellos und ambulant",D295&gt;4,D295&lt;=8),122,IF(AND(L290="Mittellos und ambulant",D295&gt;2,D295&lt;=4),151,IF(AND(L290="Mittellos und ambulant",D295&gt;1,D295&lt;=2),170,IF(AND(L290="Mittellos und ambulant",D295&gt;0,D295&lt;=1),208,IF(AND(L290="Mittellos und stationär",D295&gt;8,D295&lt;=1000),62,IF(AND(L290="Mittellos und stationär",D295&gt;4,D295&lt;=8),87,IF(AND(L290="Mittellos und stationär",D295&gt;2,D295&lt;=4),124,IF(AND(L290="Mittellos und stationär",D295&gt;1,D295&lt;=2),129,IF(AND(L290="Mittellos und stationär",D295&gt;0,D295&lt;=1),194,""))))))))))))))))))))),IF(M289="Stufe B",IF(AND(L290="Auswahl treffen",D295&gt;=0,D295&lt;=1000),J289,IF(AND(L290="Vermögend und ambulant",D295&gt;8,D295&lt;=1000),161,IF(AND(L290="Vermögend und ambulant",D295&gt;4,D295&lt;=8),196,IF(AND(L290="Vermögend und ambulant",D295&gt;2,D295&lt;=4),238,IF(AND(L290="Vermögend und ambulant",D295&gt;1,D295&lt;=2),258,IF(AND(L290="Vermögend und ambulant",D295&gt;0,D295&lt;=1),370,IF(AND(L290="Vermögend und stationär",D295&gt;8,D295&lt;=1000),96,IF(AND(L290="Vermögend und stationär",D295&gt;4,D295&lt;=8),113,IF(AND(L290="Vermögend und stationär",D295&gt;2,D295&lt;=4),174,IF(AND(L290="Vermögend und stationär",D295&gt;1,D295&lt;=2),196,IF(AND(L290="Vermögend und stationär",D295&gt;0,D295&lt;=1),249,IF(AND(L290="Mittellos und ambulant",D295&gt;8,D295&lt;=1000),130,IF(AND(L290="Mittellos und ambulant",D295&gt;4,D295&lt;=8),151,IF(AND(L290="Mittellos und ambulant",D295&gt;2,D295&lt;=4),188,IF(AND(L290="Mittellos und ambulant",D295&gt;1,D295&lt;=2),211,IF(AND(L290="Mittellos und ambulant",D295&gt;0,D295&lt;=1),258,IF(AND(L290="Mittellos und stationär",D295&gt;8,D295&lt;=1000),78,IF(AND(L290="Mittellos und stationär",D295&gt;4,D295&lt;=8),107,IF(AND(L290="Mittellos und stationär",D295&gt;2,D295&lt;=4),154,IF(AND(L290="Mittellos und stationär",D295&gt;1,D295&lt;=2),158,IF(AND(L290="Mittellos und stationär",D295&gt;0,D295&lt;=1),241,""))))))))))))))))))))),IF(M289="Stufe C",IF(AND(L290="Auswahl treffen",D295&gt;=0,D295&lt;=1000),J289,IF(AND(L290="Vermögend und ambulant",D295&gt;8,D295&lt;=1000),211,IF(AND(L290="Vermögend und ambulant",D295&gt;4,D295&lt;=8),257,IF(AND(L290="Vermögend und ambulant",D295&gt;2,D295&lt;=4),312,IF(AND(L290="Vermögend und ambulant",D295&gt;1,D295&lt;=2),339,IF(AND(L290="Vermögend und ambulant",D295&gt;0,D295&lt;=1),486,IF(AND(L290="Vermögend und stationär",D295&gt;8,D295&lt;=1000),127,IF(AND(L290="Vermögend und stationär",D295&gt;4,D295&lt;=8),149,IF(AND(L290="Vermögend und stationär",D295&gt;2,D295&lt;=4),229,IF(AND(L290="Vermögend und stationär",D295&gt;1,D295&lt;=2),257,IF(AND(L290="Vermögend und stationär",D295&gt;0,D295&lt;=1),327,IF(AND(L290="Mittellos und ambulant",D295&gt;8,D295&lt;=1000),171,IF(AND(L290="Mittellos und ambulant",D295&gt;4,D295&lt;=8),198,IF(AND(L290="Mittellos und ambulant",D295&gt;2,D295&lt;=4),246,IF(AND(L290="Mittellos und ambulant",D295&gt;1,D295&lt;=2),277,IF(AND(L290="Mittellos und ambulant",D295&gt;0,D295&lt;=1),339,IF(AND(L290="Mittellos und stationär",D295&gt;8,D295&lt;=1000),102,IF(AND(L290="Mittellos und stationär",D295&gt;4,D295&lt;=8),141,IF(AND(L290="Mittellos und stationär",D295&gt;2,D295&lt;=4),202,IF(AND(L290="Mittellos und stationär",D295&gt;1,D295&lt;=2),208,IF(AND(L290="Mittellos und stationär",D295&gt;0,D295&lt;=1),317,""))))))))))))))))))))),"")))*3+(J289*90)</f>
        <v>#NUM!</v>
      </c>
      <c r="M296" s="507" t="str">
        <f>CONCATENATE(K296, K295)</f>
        <v>+Inflat.-P</v>
      </c>
      <c r="N296" s="206"/>
      <c r="O296" s="207"/>
      <c r="P296" s="206" t="s">
        <v>118</v>
      </c>
      <c r="Q296" s="226"/>
      <c r="R296" s="189"/>
      <c r="S296" s="203"/>
      <c r="T296" s="203"/>
      <c r="U296" s="204"/>
      <c r="V296" s="192"/>
      <c r="W296" s="203"/>
      <c r="X296" s="203"/>
      <c r="Y296" s="204"/>
      <c r="Z296" s="192"/>
      <c r="AA296" s="209" t="s">
        <v>118</v>
      </c>
      <c r="AB296" s="209" t="s">
        <v>117</v>
      </c>
      <c r="AC296" s="204" t="s">
        <v>26</v>
      </c>
      <c r="AD296" s="192"/>
      <c r="AE296" s="203"/>
      <c r="AF296" s="203"/>
      <c r="AG296" s="204"/>
      <c r="AH296" s="193"/>
      <c r="AI296" s="203"/>
      <c r="AJ296" s="203"/>
      <c r="AK296" s="375"/>
      <c r="AL296" s="348" t="s">
        <v>150</v>
      </c>
      <c r="AM296" s="354"/>
      <c r="AN296" s="354"/>
      <c r="AO296" s="354">
        <f>IF(SUM(P290:P298)=SUM(AA290:AA298), 0, SUM(P290:P298)-SUM(AA290:AA298))</f>
        <v>0</v>
      </c>
      <c r="AP296" s="354"/>
      <c r="AQ296" s="350">
        <f>AM296+AN296+AO296+AP296</f>
        <v>0</v>
      </c>
      <c r="AR296" s="769"/>
      <c r="AS296" s="769"/>
      <c r="AT296" s="769"/>
      <c r="AW296"/>
      <c r="AX296"/>
      <c r="AY296" s="280"/>
      <c r="AZ296"/>
      <c r="BA296"/>
      <c r="BB296"/>
      <c r="BC296"/>
      <c r="BD296"/>
      <c r="BE296"/>
      <c r="BF296"/>
      <c r="BG296" s="280"/>
      <c r="BH296"/>
      <c r="BI296"/>
      <c r="BJ296"/>
      <c r="BK296"/>
      <c r="BL296"/>
      <c r="BM296"/>
      <c r="BN296"/>
      <c r="BO296"/>
    </row>
    <row r="297" spans="1:67" ht="22.25" customHeight="1">
      <c r="A297" s="181">
        <f t="shared" si="101"/>
        <v>45292</v>
      </c>
      <c r="B297" s="486"/>
      <c r="C297" s="489" t="s">
        <v>158</v>
      </c>
      <c r="D297" s="522" t="e">
        <f>D295+1</f>
        <v>#NUM!</v>
      </c>
      <c r="E297" s="211" t="e">
        <f>DATE(YEAR(E296),MONTH(E296),DAY(E296)+1)</f>
        <v>#NUM!</v>
      </c>
      <c r="F297" s="227" t="e">
        <f t="shared" si="109"/>
        <v>#NUM!</v>
      </c>
      <c r="G297" s="228" t="e">
        <f t="shared" si="110"/>
        <v>#NUM!</v>
      </c>
      <c r="H297" s="227" t="e">
        <f t="shared" si="111"/>
        <v>#NUM!</v>
      </c>
      <c r="I297" s="231">
        <f>IF(J296&lt;13,J296,"")</f>
        <v>3</v>
      </c>
      <c r="J297" s="230">
        <f>J298+3</f>
        <v>9</v>
      </c>
      <c r="K297" s="506" t="str">
        <f t="shared" si="102"/>
        <v/>
      </c>
      <c r="L297" s="471"/>
      <c r="M297" s="473" t="e">
        <f ca="1">SUM(J290-E298)&amp;" Tage"</f>
        <v>#NUM!</v>
      </c>
      <c r="N297" s="216"/>
      <c r="O297" s="188"/>
      <c r="P297" s="188"/>
      <c r="Q297" s="217"/>
      <c r="R297" s="189"/>
      <c r="S297" s="190"/>
      <c r="T297" s="190"/>
      <c r="U297" s="191"/>
      <c r="V297" s="192"/>
      <c r="W297" s="190"/>
      <c r="X297" s="190"/>
      <c r="Y297" s="191"/>
      <c r="Z297" s="192"/>
      <c r="AA297" s="190"/>
      <c r="AB297" s="190"/>
      <c r="AC297" s="191"/>
      <c r="AD297" s="192"/>
      <c r="AE297" s="190"/>
      <c r="AF297" s="190"/>
      <c r="AG297" s="191"/>
      <c r="AH297" s="193"/>
      <c r="AI297" s="190"/>
      <c r="AJ297" s="190"/>
      <c r="AK297" s="374"/>
      <c r="AL297" s="348"/>
      <c r="AM297" s="354"/>
      <c r="AN297" s="354"/>
      <c r="AO297" s="354"/>
      <c r="AP297" s="354"/>
      <c r="AQ297" s="350"/>
      <c r="AR297" s="769"/>
      <c r="AS297" s="769"/>
      <c r="AT297" s="769"/>
      <c r="AW297"/>
      <c r="AX297"/>
      <c r="AY297" s="280"/>
      <c r="AZ297"/>
      <c r="BA297"/>
      <c r="BB297"/>
      <c r="BC297"/>
      <c r="BD297"/>
      <c r="BE297"/>
      <c r="BF297"/>
      <c r="BG297" s="280"/>
      <c r="BH297"/>
      <c r="BI297"/>
      <c r="BJ297"/>
      <c r="BK297"/>
      <c r="BL297"/>
      <c r="BM297"/>
      <c r="BN297"/>
      <c r="BO297"/>
    </row>
    <row r="298" spans="1:67" ht="22.25" customHeight="1">
      <c r="A298" s="181">
        <f t="shared" si="101"/>
        <v>45292</v>
      </c>
      <c r="B298" s="485"/>
      <c r="C298" s="490"/>
      <c r="D298" s="521"/>
      <c r="E298" s="218" t="e">
        <f>DATE(YEAR(E297),MONTH(E297)+3,DAY(E297)-1)</f>
        <v>#NUM!</v>
      </c>
      <c r="F298" s="227" t="e">
        <f t="shared" si="109"/>
        <v>#NUM!</v>
      </c>
      <c r="G298" s="228" t="e">
        <f t="shared" si="110"/>
        <v>#NUM!</v>
      </c>
      <c r="H298" s="227" t="e">
        <f t="shared" si="111"/>
        <v>#NUM!</v>
      </c>
      <c r="I298" s="231">
        <f>IF(J295&lt;13,J295,"")</f>
        <v>0</v>
      </c>
      <c r="J298" s="230">
        <f>J296+3</f>
        <v>6</v>
      </c>
      <c r="K298" s="501" t="str">
        <f t="shared" si="102"/>
        <v>+Inflat.-P</v>
      </c>
      <c r="L298" s="508" t="e">
        <f>IF(M289="Stufe A",IF(AND(L290="Auswahl treffen",D297&gt;=0,D297&lt;=1000),J289,IF(AND(L290="Vermögend und ambulant",D297&gt;8,D297&lt;=1000),130,IF(AND(L290="Vermögend und ambulant",D297&gt;4,D297&lt;=8),158,IF(AND(L290="Vermögend und ambulant",D297&gt;2,D297&lt;=4),192,IF(AND(L290="Vermögend und ambulant",D297&gt;1,D297&lt;=2),208,IF(AND(L290="Vermögend und ambulant",D297&gt;0,D297&lt;=1),298,IF(AND(L290="Vermögend und stationär",D297&gt;8,D297&lt;=1000),78,IF(AND(L290="Vermögend und stationär",D297&gt;4,D297&lt;=8),91,IF(AND(L290="Vermögend und stationär",D297&gt;2,D297&lt;=4),140,IF(AND(L290="Vermögend und stationär",D297&gt;1,D297&lt;=2),158,IF(AND(L290="Vermögend und stationär",D297&gt;0,D297&lt;=1),200,IF(AND(L290="Mittellos und ambulant",D297&gt;8,D297&lt;=1000),105,IF(AND(L290="Mittellos und ambulant",D297&gt;4,D297&lt;=8),122,IF(AND(L290="Mittellos und ambulant",D297&gt;2,D297&lt;=4),151,IF(AND(L290="Mittellos und ambulant",D297&gt;1,D297&lt;=2),170,IF(AND(L290="Mittellos und ambulant",D297&gt;0,D297&lt;=1),208,IF(AND(L290="Mittellos und stationär",D297&gt;8,D297&lt;=1000),62,IF(AND(L290="Mittellos und stationär",D297&gt;4,D297&lt;=8),87,IF(AND(L290="Mittellos und stationär",D297&gt;2,D297&lt;=4),124,IF(AND(L290="Mittellos und stationär",D297&gt;1,D297&lt;=2),129,IF(AND(L290="Mittellos und stationär",D297&gt;0,D297&lt;=1),194,""))))))))))))))))))))),IF(M289="Stufe B",IF(AND(L290="Auswahl treffen",D297&gt;=0,D297&lt;=1000),J289,IF(AND(L290="Vermögend und ambulant",D297&gt;8,D297&lt;=1000),161,IF(AND(L290="Vermögend und ambulant",D297&gt;4,D297&lt;=8),196,IF(AND(L290="Vermögend und ambulant",D297&gt;2,D297&lt;=4),238,IF(AND(L290="Vermögend und ambulant",D297&gt;1,D297&lt;=2),258,IF(AND(L290="Vermögend und ambulant",D297&gt;0,D297&lt;=1),370,IF(AND(L290="Vermögend und stationär",D297&gt;8,D297&lt;=1000),96,IF(AND(L290="Vermögend und stationär",D297&gt;4,D297&lt;=8),113,IF(AND(L290="Vermögend und stationär",D297&gt;2,D297&lt;=4),174,IF(AND(L290="Vermögend und stationär",D297&gt;1,D297&lt;=2),196,IF(AND(L290="Vermögend und stationär",D297&gt;0,D297&lt;=1),249,IF(AND(L290="Mittellos und ambulant",D297&gt;8,D297&lt;=1000),130,IF(AND(L290="Mittellos und ambulant",D297&gt;4,D297&lt;=8),151,IF(AND(L290="Mittellos und ambulant",D297&gt;2,D297&lt;=4),188,IF(AND(L290="Mittellos und ambulant",D297&gt;1,D297&lt;=2),211,IF(AND(L290="Mittellos und ambulant",D297&gt;0,D297&lt;=1),258,IF(AND(L290="Mittellos und stationär",D297&gt;8,D297&lt;=1000),78,IF(AND(L290="Mittellos und stationär",D297&gt;4,D297&lt;=8),107,IF(AND(L290="Mittellos und stationär",D297&gt;2,D297&lt;=4),154,IF(AND(L290="Mittellos und stationär",D297&gt;1,D297&lt;=2),158,IF(AND(L290="Mittellos und stationär",D297&gt;0,D297&lt;=1),241,""))))))))))))))))))))),IF(M289="Stufe C",IF(AND(L290="Auswahl treffen",D297&gt;=0,D297&lt;=1000),J289,IF(AND(L290="Vermögend und ambulant",D297&gt;8,D297&lt;=1000),211,IF(AND(L290="Vermögend und ambulant",D297&gt;4,D297&lt;=8),257,IF(AND(L290="Vermögend und ambulant",D297&gt;2,D297&lt;=4),312,IF(AND(L290="Vermögend und ambulant",D297&gt;1,D297&lt;=2),339,IF(AND(L290="Vermögend und ambulant",D297&gt;0,D297&lt;=1),486,IF(AND(L290="Vermögend und stationär",D297&gt;8,D297&lt;=1000),127,IF(AND(L290="Vermögend und stationär",D297&gt;4,D297&lt;=8),149,IF(AND(L290="Vermögend und stationär",D297&gt;2,D297&lt;=4),229,IF(AND(L290="Vermögend und stationär",D297&gt;1,D297&lt;=2),257,IF(AND(L290="Vermögend und stationär",D297&gt;0,D297&lt;=1),327,IF(AND(L290="Mittellos und ambulant",D297&gt;8,D297&lt;=1000),171,IF(AND(L290="Mittellos und ambulant",D297&gt;4,D297&lt;=8),198,IF(AND(L290="Mittellos und ambulant",D297&gt;2,D297&lt;=4),246,IF(AND(L290="Mittellos und ambulant",D297&gt;1,D297&lt;=2),277,IF(AND(L290="Mittellos und ambulant",D297&gt;0,D297&lt;=1),339,IF(AND(L290="Mittellos und stationär",D297&gt;8,D297&lt;=1000),102,IF(AND(L290="Mittellos und stationär",D297&gt;4,D297&lt;=8),141,IF(AND(L290="Mittellos und stationär",D297&gt;2,D297&lt;=4),202,IF(AND(L290="Mittellos und stationär",D297&gt;1,D297&lt;=2),208,IF(AND(L290="Mittellos und stationär",D297&gt;0,D297&lt;=1),317,""))))))))))))))))))))),"")))*3+(J289*90)</f>
        <v>#NUM!</v>
      </c>
      <c r="M298" s="507" t="str">
        <f>CONCATENATE(K298, K297)</f>
        <v>+Inflat.-P</v>
      </c>
      <c r="N298" s="216"/>
      <c r="O298" s="188"/>
      <c r="P298" s="188"/>
      <c r="Q298" s="217" t="s">
        <v>118</v>
      </c>
      <c r="R298" s="189"/>
      <c r="S298" s="190"/>
      <c r="T298" s="190"/>
      <c r="U298" s="191"/>
      <c r="V298" s="192"/>
      <c r="W298" s="190"/>
      <c r="X298" s="190"/>
      <c r="Y298" s="191"/>
      <c r="Z298" s="192"/>
      <c r="AA298" s="190"/>
      <c r="AB298" s="190"/>
      <c r="AC298" s="191"/>
      <c r="AD298" s="192"/>
      <c r="AE298" s="190" t="s">
        <v>118</v>
      </c>
      <c r="AF298" s="190" t="s">
        <v>117</v>
      </c>
      <c r="AG298" s="191" t="s">
        <v>26</v>
      </c>
      <c r="AH298" s="193"/>
      <c r="AI298" s="190" t="s">
        <v>118</v>
      </c>
      <c r="AJ298" s="190" t="s">
        <v>117</v>
      </c>
      <c r="AK298" s="374" t="s">
        <v>26</v>
      </c>
      <c r="AL298" s="348" t="s">
        <v>151</v>
      </c>
      <c r="AM298" s="354"/>
      <c r="AN298" s="354"/>
      <c r="AO298" s="354"/>
      <c r="AP298" s="354">
        <f>IF(SUM(Q290:Q298)=SUM(AE290:AE298,AI290:AI298), 0, SUM(Q290:Q298)-SUM(AE290:AE298,AI290:AI298))</f>
        <v>0</v>
      </c>
      <c r="AQ298" s="350">
        <f>AM298+AN298+AO298+AP298</f>
        <v>0</v>
      </c>
      <c r="AR298" s="769"/>
      <c r="AS298" s="769"/>
      <c r="AT298" s="769"/>
      <c r="AW298"/>
      <c r="AX298"/>
      <c r="AY298" s="280"/>
      <c r="AZ298"/>
      <c r="BA298"/>
      <c r="BB298"/>
      <c r="BC298"/>
      <c r="BD298"/>
      <c r="BE298"/>
      <c r="BF298"/>
      <c r="BG298" s="280"/>
      <c r="BH298"/>
      <c r="BI298"/>
      <c r="BJ298"/>
      <c r="BK298"/>
      <c r="BL298"/>
      <c r="BM298"/>
      <c r="BN298"/>
      <c r="BO298"/>
    </row>
    <row r="299" spans="1:67" ht="22" customHeight="1">
      <c r="A299" s="181">
        <f t="shared" si="101"/>
        <v>45292</v>
      </c>
      <c r="B299" s="232" t="s">
        <v>74</v>
      </c>
      <c r="C299" s="233" t="s">
        <v>75</v>
      </c>
      <c r="D299" s="234" t="s">
        <v>76</v>
      </c>
      <c r="E299" s="235" t="s">
        <v>11</v>
      </c>
      <c r="F299" s="235" t="s">
        <v>4</v>
      </c>
      <c r="G299" s="235" t="s">
        <v>5</v>
      </c>
      <c r="H299" s="235" t="s">
        <v>6</v>
      </c>
      <c r="I299" s="236" t="s">
        <v>77</v>
      </c>
      <c r="J299" s="306"/>
      <c r="K299" s="501" t="str">
        <f t="shared" si="102"/>
        <v/>
      </c>
      <c r="L299" s="306" t="str">
        <f>IFERROR(VLOOKUP(B300,'Aktuelle Einnahmen'!A2:J104,10,0),"")</f>
        <v/>
      </c>
      <c r="M299" s="510" t="str">
        <f>M289</f>
        <v>Stufe C</v>
      </c>
      <c r="N299" s="237"/>
      <c r="O299" s="238"/>
      <c r="P299" s="238"/>
      <c r="Q299" s="239"/>
      <c r="R299" s="240"/>
      <c r="S299" s="241"/>
      <c r="T299" s="241"/>
      <c r="U299" s="242"/>
      <c r="V299" s="243"/>
      <c r="W299" s="241"/>
      <c r="X299" s="241"/>
      <c r="Y299" s="242"/>
      <c r="Z299" s="243"/>
      <c r="AA299" s="241"/>
      <c r="AB299" s="241"/>
      <c r="AC299" s="242"/>
      <c r="AD299" s="243"/>
      <c r="AE299" s="241"/>
      <c r="AF299" s="241"/>
      <c r="AG299" s="242"/>
      <c r="AH299" s="240"/>
      <c r="AI299" s="241"/>
      <c r="AJ299" s="241"/>
      <c r="AK299" s="377"/>
      <c r="AL299" s="347"/>
      <c r="AM299" s="353"/>
      <c r="AN299" s="353"/>
      <c r="AO299" s="353"/>
      <c r="AP299" s="353"/>
      <c r="AQ299" s="349"/>
      <c r="AR299" s="768"/>
      <c r="AS299" s="768"/>
      <c r="AT299" s="768"/>
      <c r="AW299"/>
      <c r="AX299"/>
      <c r="AY299" s="280"/>
      <c r="AZ299"/>
      <c r="BA299"/>
      <c r="BB299"/>
      <c r="BC299"/>
      <c r="BD299"/>
      <c r="BE299"/>
      <c r="BF299"/>
      <c r="BG299" s="280"/>
      <c r="BH299"/>
      <c r="BI299"/>
      <c r="BJ299"/>
      <c r="BK299"/>
      <c r="BL299"/>
      <c r="BM299"/>
      <c r="BN299"/>
      <c r="BO299"/>
    </row>
    <row r="300" spans="1:67" ht="23" customHeight="1">
      <c r="A300" s="181">
        <f t="shared" si="101"/>
        <v>45292</v>
      </c>
      <c r="B300" s="182">
        <v>30</v>
      </c>
      <c r="C300" s="245">
        <f>IFERROR(VLOOKUP($B300,'Aktuelle Einnahmen'!A2:G104,3,0),"")</f>
        <v>0</v>
      </c>
      <c r="D300" s="246">
        <f>IFERROR(VLOOKUP($B300,'Aktuelle Einnahmen'!A2:G104,2,0),"")</f>
        <v>0</v>
      </c>
      <c r="E300" s="247">
        <f>IFERROR(VLOOKUP($B300,'Aktuelle Einnahmen'!A2:G104,4,0),"")</f>
        <v>0</v>
      </c>
      <c r="F300" s="94">
        <f>IFERROR(VLOOKUP($B300,'Aktuelle Einnahmen'!A2:G104,5,0),"")</f>
        <v>0</v>
      </c>
      <c r="G300" s="94">
        <f>IFERROR(VLOOKUP($B300,'Aktuelle Einnahmen'!A2:G104,6,0),"")</f>
        <v>0</v>
      </c>
      <c r="H300" s="94">
        <f>IFERROR(VLOOKUP($B300,'Aktuelle Einnahmen'!A2:G104,7,0),"")</f>
        <v>0</v>
      </c>
      <c r="I300" s="186" t="e">
        <f>DATE(H300,G300,F300)</f>
        <v>#NUM!</v>
      </c>
      <c r="J300" s="472">
        <f ca="1">J290</f>
        <v>45475</v>
      </c>
      <c r="K300" s="506" t="str">
        <f t="shared" si="102"/>
        <v>+Inflat.-P</v>
      </c>
      <c r="L300" s="1262" t="str">
        <f>IFERROR(VLOOKUP(B300,'Aktuelle Einnahmen'!A12:I114,9,0),"")</f>
        <v>Auswahl treffen</v>
      </c>
      <c r="M300" s="1263"/>
      <c r="N300" s="261"/>
      <c r="O300" s="261"/>
      <c r="P300" s="261"/>
      <c r="Q300" s="261"/>
      <c r="R300" s="189"/>
      <c r="S300" s="190"/>
      <c r="T300" s="190"/>
      <c r="U300" s="191"/>
      <c r="V300" s="192"/>
      <c r="W300" s="190"/>
      <c r="X300" s="190"/>
      <c r="Y300" s="191"/>
      <c r="Z300" s="192"/>
      <c r="AA300" s="190"/>
      <c r="AB300" s="190"/>
      <c r="AC300" s="191"/>
      <c r="AD300" s="192"/>
      <c r="AE300" s="190"/>
      <c r="AF300" s="190"/>
      <c r="AG300" s="191"/>
      <c r="AH300" s="193"/>
      <c r="AI300" s="190"/>
      <c r="AJ300" s="190"/>
      <c r="AK300" s="374"/>
      <c r="AL300" s="348"/>
      <c r="AM300" s="354"/>
      <c r="AN300" s="354"/>
      <c r="AO300" s="354"/>
      <c r="AP300" s="354"/>
      <c r="AQ300" s="350"/>
      <c r="AR300" s="769"/>
      <c r="AS300" s="769"/>
      <c r="AT300" s="769"/>
      <c r="AW300"/>
      <c r="AX300"/>
      <c r="AY300" s="280"/>
      <c r="AZ300"/>
      <c r="BA300"/>
      <c r="BB300"/>
      <c r="BC300"/>
      <c r="BD300"/>
      <c r="BE300"/>
      <c r="BF300"/>
      <c r="BG300" s="280"/>
      <c r="BH300"/>
      <c r="BI300"/>
      <c r="BJ300"/>
      <c r="BK300"/>
      <c r="BL300"/>
      <c r="BM300"/>
      <c r="BN300"/>
      <c r="BO300"/>
    </row>
    <row r="301" spans="1:67" ht="22.25" customHeight="1">
      <c r="A301" s="181">
        <f t="shared" si="101"/>
        <v>45292</v>
      </c>
      <c r="B301" s="484" t="e">
        <f>DAY(I300)</f>
        <v>#NUM!</v>
      </c>
      <c r="C301" s="489" t="s">
        <v>158</v>
      </c>
      <c r="D301" s="520" t="e">
        <f>(I301*4)+J301/3+1</f>
        <v>#NUM!</v>
      </c>
      <c r="E301" s="194" t="e">
        <f>J303+1</f>
        <v>#NUM!</v>
      </c>
      <c r="F301" s="195" t="e">
        <f t="shared" ref="F301:F308" si="112">DAY(E301)</f>
        <v>#NUM!</v>
      </c>
      <c r="G301" s="196" t="e">
        <f t="shared" ref="G301:G308" si="113">MONTH(E301)</f>
        <v>#NUM!</v>
      </c>
      <c r="H301" s="195" t="e">
        <f t="shared" ref="H301:H308" si="114">YEAR(E301)</f>
        <v>#NUM!</v>
      </c>
      <c r="I301" s="197" t="e">
        <f>H301-(H300+2000)</f>
        <v>#NUM!</v>
      </c>
      <c r="J301" s="198" t="e">
        <f>G301-G300</f>
        <v>#NUM!</v>
      </c>
      <c r="K301" s="506" t="str">
        <f>L299</f>
        <v/>
      </c>
      <c r="L301" s="469"/>
      <c r="M301" s="473" t="e">
        <f ca="1">SUM(J300-E302)&amp;" Tage"</f>
        <v>#NUM!</v>
      </c>
      <c r="N301" s="206"/>
      <c r="O301" s="201"/>
      <c r="P301" s="201"/>
      <c r="Q301" s="202"/>
      <c r="R301" s="189"/>
      <c r="S301" s="203"/>
      <c r="T301" s="203"/>
      <c r="U301" s="204"/>
      <c r="V301" s="192"/>
      <c r="W301" s="203"/>
      <c r="X301" s="203"/>
      <c r="Y301" s="204"/>
      <c r="Z301" s="192"/>
      <c r="AA301" s="203"/>
      <c r="AB301" s="203"/>
      <c r="AC301" s="204"/>
      <c r="AD301" s="192"/>
      <c r="AE301" s="203"/>
      <c r="AF301" s="203"/>
      <c r="AG301" s="204"/>
      <c r="AH301" s="193"/>
      <c r="AI301" s="203"/>
      <c r="AJ301" s="203"/>
      <c r="AK301" s="375"/>
      <c r="AL301" s="348"/>
      <c r="AM301" s="354"/>
      <c r="AN301" s="354"/>
      <c r="AO301" s="354"/>
      <c r="AP301" s="354"/>
      <c r="AQ301" s="350"/>
      <c r="AR301" s="769"/>
      <c r="AS301" s="769"/>
      <c r="AT301" s="769"/>
      <c r="AW301"/>
      <c r="AX301"/>
      <c r="AY301" s="280"/>
      <c r="AZ301"/>
      <c r="BA301"/>
      <c r="BB301"/>
      <c r="BC301"/>
      <c r="BD301"/>
      <c r="BE301"/>
      <c r="BF301"/>
      <c r="BG301" s="280"/>
      <c r="BH301"/>
      <c r="BI301"/>
      <c r="BJ301"/>
      <c r="BK301"/>
      <c r="BL301"/>
      <c r="BM301"/>
      <c r="BN301"/>
      <c r="BO301"/>
    </row>
    <row r="302" spans="1:67" ht="22.25" customHeight="1">
      <c r="A302" s="181">
        <f t="shared" si="101"/>
        <v>45292</v>
      </c>
      <c r="B302" s="485"/>
      <c r="C302" s="490"/>
      <c r="D302" s="521"/>
      <c r="E302" s="194" t="e">
        <f>DATE(YEAR(E301),MONTH(E301)+3,DAY(E301)-1)</f>
        <v>#NUM!</v>
      </c>
      <c r="F302" s="195" t="e">
        <f t="shared" si="112"/>
        <v>#NUM!</v>
      </c>
      <c r="G302" s="196" t="e">
        <f t="shared" si="113"/>
        <v>#NUM!</v>
      </c>
      <c r="H302" s="195" t="e">
        <f t="shared" si="114"/>
        <v>#NUM!</v>
      </c>
      <c r="I302" s="244">
        <v>-1</v>
      </c>
      <c r="J302" s="198" t="e">
        <f>F301-F300</f>
        <v>#NUM!</v>
      </c>
      <c r="K302" s="506" t="str">
        <f t="shared" si="102"/>
        <v>+Inflat.-P</v>
      </c>
      <c r="L302" s="511" t="e">
        <f>IF(M299="Stufe A",IF(AND(L300="Auswahl treffen",D301&gt;=0,D301&lt;=1000),J299,IF(AND(L300="Vermögend und ambulant",D301&gt;8,D301&lt;=1000),130,IF(AND(L300="Vermögend und ambulant",D301&gt;4,D301&lt;=8),158,IF(AND(L300="Vermögend und ambulant",D301&gt;2,D301&lt;=4),192,IF(AND(L300="Vermögend und ambulant",D301&gt;1,D301&lt;=2),208,IF(AND(L300="Vermögend und ambulant",D301&gt;0,D301&lt;=1),298,IF(AND(L300="Vermögend und stationär",D301&gt;8,D301&lt;=1000),78,IF(AND(L300="Vermögend und stationär",D301&gt;4,D301&lt;=8),91,IF(AND(L300="Vermögend und stationär",D301&gt;2,D301&lt;=4),140,IF(AND(L300="Vermögend und stationär",D301&gt;1,D301&lt;=2),158,IF(AND(L300="Vermögend und stationär",D301&gt;0,D301&lt;=1),200,IF(AND(L300="Mittellos und ambulant",D301&gt;8,D301&lt;=1000),105,IF(AND(L300="Mittellos und ambulant",D301&gt;4,D301&lt;=8),122,IF(AND(L300="Mittellos und ambulant",D301&gt;2,D301&lt;=4),151,IF(AND(L300="Mittellos und ambulant",D301&gt;1,D301&lt;=2),170,IF(AND(L300="Mittellos und ambulant",D301&gt;0,D301&lt;=1),208,IF(AND(L300="Mittellos und stationär",D301&gt;8,D301&lt;=1000),62,IF(AND(L300="Mittellos und stationär",D301&gt;4,D301&lt;=8),87,IF(AND(L300="Mittellos und stationär",D301&gt;2,D301&lt;=4),124,IF(AND(L300="Mittellos und stationär",D301&gt;1,D301&lt;=2),129,IF(AND(L300="Mittellos und stationär",D301&gt;0,D301&lt;=1),194,""))))))))))))))))))))),IF(M299="Stufe B",IF(AND(L300="Auswahl treffen",D301&gt;=0,D301&lt;=1000),J299,IF(AND(L300="Vermögend und ambulant",D301&gt;8,D301&lt;=1000),161,IF(AND(L300="Vermögend und ambulant",D301&gt;4,D301&lt;=8),196,IF(AND(L300="Vermögend und ambulant",D301&gt;2,D301&lt;=4),238,IF(AND(L300="Vermögend und ambulant",D301&gt;1,D301&lt;=2),258,IF(AND(L300="Vermögend und ambulant",D301&gt;0,D301&lt;=1),370,IF(AND(L300="Vermögend und stationär",D301&gt;8,D301&lt;=1000),96,IF(AND(L300="Vermögend und stationär",D301&gt;4,D301&lt;=8),113,IF(AND(L300="Vermögend und stationär",D301&gt;2,D301&lt;=4),174,IF(AND(L300="Vermögend und stationär",D301&gt;1,D301&lt;=2),196,IF(AND(L300="Vermögend und stationär",D301&gt;0,D301&lt;=1),249,IF(AND(L300="Mittellos und ambulant",D301&gt;8,D301&lt;=1000),130,IF(AND(L300="Mittellos und ambulant",D301&gt;4,D301&lt;=8),151,IF(AND(L300="Mittellos und ambulant",D301&gt;2,D301&lt;=4),188,IF(AND(L300="Mittellos und ambulant",D301&gt;1,D301&lt;=2),211,IF(AND(L300="Mittellos und ambulant",D301&gt;0,D301&lt;=1),258,IF(AND(L300="Mittellos und stationär",D301&gt;8,D301&lt;=1000),78,IF(AND(L300="Mittellos und stationär",D301&gt;4,D301&lt;=8),107,IF(AND(L300="Mittellos und stationär",D301&gt;2,D301&lt;=4),154,IF(AND(L300="Mittellos und stationär",D301&gt;1,D301&lt;=2),158,IF(AND(L300="Mittellos und stationär",D301&gt;0,D301&lt;=1),241,""))))))))))))))))))))),IF(M299="Stufe C",IF(AND(L300="Auswahl treffen",D301&gt;=0,D301&lt;=1000),J299,IF(AND(L300="Vermögend und ambulant",D301&gt;8,D301&lt;=1000),211,IF(AND(L300="Vermögend und ambulant",D301&gt;4,D301&lt;=8),257,IF(AND(L300="Vermögend und ambulant",D301&gt;2,D301&lt;=4),312,IF(AND(L300="Vermögend und ambulant",D301&gt;1,D301&lt;=2),339,IF(AND(L300="Vermögend und ambulant",D301&gt;0,D301&lt;=1),486,IF(AND(L300="Vermögend und stationär",D301&gt;8,D301&lt;=1000),127,IF(AND(L300="Vermögend und stationär",D301&gt;4,D301&lt;=8),149,IF(AND(L300="Vermögend und stationär",D301&gt;2,D301&lt;=4),229,IF(AND(L300="Vermögend und stationär",D301&gt;1,D301&lt;=2),257,IF(AND(L300="Vermögend und stationär",D301&gt;0,D301&lt;=1),327,IF(AND(L300="Mittellos und ambulant",D301&gt;8,D301&lt;=1000),171,IF(AND(L300="Mittellos und ambulant",D301&gt;4,D301&lt;=8),198,IF(AND(L300="Mittellos und ambulant",D301&gt;2,D301&lt;=4),246,IF(AND(L300="Mittellos und ambulant",D301&gt;1,D301&lt;=2),277,IF(AND(L300="Mittellos und ambulant",D301&gt;0,D301&lt;=1),339,IF(AND(L300="Mittellos und stationär",D301&gt;8,D301&lt;=1000),102,IF(AND(L300="Mittellos und stationär",D301&gt;4,D301&lt;=8),141,IF(AND(L300="Mittellos und stationär",D301&gt;2,D301&lt;=4),202,IF(AND(L300="Mittellos und stationär",D301&gt;1,D301&lt;=2),208,IF(AND(L300="Mittellos und stationär",D301&gt;0,D301&lt;=1),317,""))))))))))))))))))))),"")))*3+(J299*90)</f>
        <v>#NUM!</v>
      </c>
      <c r="M302" s="507" t="str">
        <f>CONCATENATE(K302, K301)</f>
        <v>+Inflat.-P</v>
      </c>
      <c r="N302" s="206" t="s">
        <v>118</v>
      </c>
      <c r="O302" s="207"/>
      <c r="P302" s="207"/>
      <c r="Q302" s="208"/>
      <c r="R302" s="187"/>
      <c r="S302" s="209" t="s">
        <v>118</v>
      </c>
      <c r="T302" s="201" t="s">
        <v>117</v>
      </c>
      <c r="U302" s="210" t="s">
        <v>26</v>
      </c>
      <c r="V302" s="192"/>
      <c r="W302" s="203"/>
      <c r="X302" s="203"/>
      <c r="Y302" s="210"/>
      <c r="Z302" s="192"/>
      <c r="AA302" s="203"/>
      <c r="AB302" s="203"/>
      <c r="AC302" s="210"/>
      <c r="AD302" s="192"/>
      <c r="AE302" s="203"/>
      <c r="AF302" s="203"/>
      <c r="AG302" s="210"/>
      <c r="AH302" s="193"/>
      <c r="AI302" s="203"/>
      <c r="AJ302" s="203"/>
      <c r="AK302" s="376"/>
      <c r="AL302" s="348" t="s">
        <v>148</v>
      </c>
      <c r="AM302" s="354">
        <f>IF(SUM(N300:N308)=SUM(S300:S308), 0, SUM(N300:N308)-SUM(S300:S308))</f>
        <v>0</v>
      </c>
      <c r="AN302" s="354"/>
      <c r="AO302" s="354"/>
      <c r="AP302" s="354"/>
      <c r="AQ302" s="350">
        <f>AM302+AN302+AO302+AP302</f>
        <v>0</v>
      </c>
      <c r="AR302" s="769"/>
      <c r="AS302" s="769"/>
      <c r="AT302" s="769"/>
      <c r="AW302"/>
      <c r="AX302"/>
      <c r="AY302" s="280"/>
      <c r="AZ302"/>
      <c r="BA302"/>
      <c r="BB302"/>
      <c r="BC302"/>
      <c r="BD302"/>
      <c r="BE302"/>
      <c r="BF302"/>
      <c r="BG302" s="280"/>
      <c r="BH302"/>
      <c r="BI302"/>
      <c r="BJ302"/>
      <c r="BK302"/>
      <c r="BL302"/>
      <c r="BM302"/>
      <c r="BN302"/>
      <c r="BO302"/>
    </row>
    <row r="303" spans="1:67" ht="22.25" customHeight="1">
      <c r="A303" s="181">
        <f t="shared" si="101"/>
        <v>45292</v>
      </c>
      <c r="B303" s="484" t="e">
        <f>MONTH(I300)</f>
        <v>#NUM!</v>
      </c>
      <c r="C303" s="489" t="s">
        <v>158</v>
      </c>
      <c r="D303" s="522" t="e">
        <f>D301+1</f>
        <v>#NUM!</v>
      </c>
      <c r="E303" s="211" t="e">
        <f>DATE(YEAR(E302),MONTH(E302),DAY(E302)+1)</f>
        <v>#NUM!</v>
      </c>
      <c r="F303" s="212" t="e">
        <f t="shared" si="112"/>
        <v>#NUM!</v>
      </c>
      <c r="G303" s="213" t="e">
        <f t="shared" si="113"/>
        <v>#NUM!</v>
      </c>
      <c r="H303" s="212" t="e">
        <f t="shared" si="114"/>
        <v>#NUM!</v>
      </c>
      <c r="I303" s="214" t="str">
        <f>IF(D300&lt;&gt;0,"-1T","")</f>
        <v/>
      </c>
      <c r="J303" s="215" t="e">
        <f>DATE($B305,I304,$B301)</f>
        <v>#NUM!</v>
      </c>
      <c r="K303" s="501" t="str">
        <f t="shared" si="102"/>
        <v/>
      </c>
      <c r="L303" s="470"/>
      <c r="M303" s="473" t="e">
        <f ca="1">SUM(J300-E304)&amp;" Tage"</f>
        <v>#NUM!</v>
      </c>
      <c r="N303" s="216"/>
      <c r="O303" s="217"/>
      <c r="P303" s="188"/>
      <c r="Q303" s="217"/>
      <c r="R303" s="189"/>
      <c r="S303" s="190"/>
      <c r="T303" s="190"/>
      <c r="U303" s="191"/>
      <c r="V303" s="192"/>
      <c r="W303" s="190"/>
      <c r="X303" s="190"/>
      <c r="Y303" s="191"/>
      <c r="Z303" s="192"/>
      <c r="AA303" s="190"/>
      <c r="AB303" s="190"/>
      <c r="AC303" s="191"/>
      <c r="AD303" s="192"/>
      <c r="AE303" s="190"/>
      <c r="AF303" s="190"/>
      <c r="AG303" s="191"/>
      <c r="AH303" s="193"/>
      <c r="AI303" s="190"/>
      <c r="AJ303" s="190"/>
      <c r="AK303" s="374"/>
      <c r="AL303" s="348"/>
      <c r="AM303" s="354"/>
      <c r="AN303" s="354"/>
      <c r="AO303" s="354"/>
      <c r="AP303" s="354"/>
      <c r="AQ303" s="350"/>
      <c r="AR303" s="769"/>
      <c r="AS303" s="769"/>
      <c r="AT303" s="769"/>
      <c r="AW303"/>
      <c r="AX303"/>
      <c r="AY303" s="280"/>
      <c r="AZ303"/>
      <c r="BA303"/>
      <c r="BB303"/>
      <c r="BC303"/>
      <c r="BD303"/>
      <c r="BE303"/>
      <c r="BF303"/>
      <c r="BG303" s="280"/>
      <c r="BH303"/>
      <c r="BI303"/>
      <c r="BJ303"/>
      <c r="BK303"/>
      <c r="BL303"/>
      <c r="BM303"/>
      <c r="BN303"/>
      <c r="BO303"/>
    </row>
    <row r="304" spans="1:67" ht="22.25" customHeight="1">
      <c r="A304" s="181">
        <f t="shared" si="101"/>
        <v>45292</v>
      </c>
      <c r="B304" s="485"/>
      <c r="C304" s="490"/>
      <c r="D304" s="521"/>
      <c r="E304" s="218" t="e">
        <f>DATE(YEAR(E303),MONTH(E303)+3,DAY(E303)-1)</f>
        <v>#NUM!</v>
      </c>
      <c r="F304" s="212" t="e">
        <f t="shared" si="112"/>
        <v>#NUM!</v>
      </c>
      <c r="G304" s="213" t="e">
        <f t="shared" si="113"/>
        <v>#NUM!</v>
      </c>
      <c r="H304" s="212" t="e">
        <f t="shared" si="114"/>
        <v>#NUM!</v>
      </c>
      <c r="I304" s="219">
        <f>MAX(I305:I308)</f>
        <v>9</v>
      </c>
      <c r="J304" s="220" t="e">
        <f>DATE(YEAR(J303)+1,MONTH(J303),DAY(J303))</f>
        <v>#NUM!</v>
      </c>
      <c r="K304" s="506" t="str">
        <f t="shared" si="102"/>
        <v>+Inflat.-P</v>
      </c>
      <c r="L304" s="508" t="e">
        <f>IF(M299="Stufe A",IF(AND(L300="Auswahl treffen",D303&gt;=0,D303&lt;=1000),J299,IF(AND(L300="Vermögend und ambulant",D303&gt;8,D303&lt;=1000),130,IF(AND(L300="Vermögend und ambulant",D303&gt;4,D303&lt;=8),158,IF(AND(L300="Vermögend und ambulant",D303&gt;2,D303&lt;=4),192,IF(AND(L300="Vermögend und ambulant",D303&gt;1,D303&lt;=2),208,IF(AND(L300="Vermögend und ambulant",D303&gt;0,D303&lt;=1),298,IF(AND(L300="Vermögend und stationär",D303&gt;8,D303&lt;=1000),78,IF(AND(L300="Vermögend und stationär",D303&gt;4,D303&lt;=8),91,IF(AND(L300="Vermögend und stationär",D303&gt;2,D303&lt;=4),140,IF(AND(L300="Vermögend und stationär",D303&gt;1,D303&lt;=2),158,IF(AND(L300="Vermögend und stationär",D303&gt;0,D303&lt;=1),200,IF(AND(L300="Mittellos und ambulant",D303&gt;8,D303&lt;=1000),105,IF(AND(L300="Mittellos und ambulant",D303&gt;4,D303&lt;=8),122,IF(AND(L300="Mittellos und ambulant",D303&gt;2,D303&lt;=4),151,IF(AND(L300="Mittellos und ambulant",D303&gt;1,D303&lt;=2),170,IF(AND(L300="Mittellos und ambulant",D303&gt;0,D303&lt;=1),208,IF(AND(L300="Mittellos und stationär",D303&gt;8,D303&lt;=1000),62,IF(AND(L300="Mittellos und stationär",D303&gt;4,D303&lt;=8),87,IF(AND(L300="Mittellos und stationär",D303&gt;2,D303&lt;=4),124,IF(AND(L300="Mittellos und stationär",D303&gt;1,D303&lt;=2),129,IF(AND(L300="Mittellos und stationär",D303&gt;0,D303&lt;=1),194,""))))))))))))))))))))),IF(M299="Stufe B",IF(AND(L300="Auswahl treffen",D303&gt;=0,D303&lt;=1000),J299,IF(AND(L300="Vermögend und ambulant",D303&gt;8,D303&lt;=1000),161,IF(AND(L300="Vermögend und ambulant",D303&gt;4,D303&lt;=8),196,IF(AND(L300="Vermögend und ambulant",D303&gt;2,D303&lt;=4),238,IF(AND(L300="Vermögend und ambulant",D303&gt;1,D303&lt;=2),258,IF(AND(L300="Vermögend und ambulant",D303&gt;0,D303&lt;=1),370,IF(AND(L300="Vermögend und stationär",D303&gt;8,D303&lt;=1000),96,IF(AND(L300="Vermögend und stationär",D303&gt;4,D303&lt;=8),113,IF(AND(L300="Vermögend und stationär",D303&gt;2,D303&lt;=4),174,IF(AND(L300="Vermögend und stationär",D303&gt;1,D303&lt;=2),196,IF(AND(L300="Vermögend und stationär",D303&gt;0,D303&lt;=1),249,IF(AND(L300="Mittellos und ambulant",D303&gt;8,D303&lt;=1000),130,IF(AND(L300="Mittellos und ambulant",D303&gt;4,D303&lt;=8),151,IF(AND(L300="Mittellos und ambulant",D303&gt;2,D303&lt;=4),188,IF(AND(L300="Mittellos und ambulant",D303&gt;1,D303&lt;=2),211,IF(AND(L300="Mittellos und ambulant",D303&gt;0,D303&lt;=1),258,IF(AND(L300="Mittellos und stationär",D303&gt;8,D303&lt;=1000),78,IF(AND(L300="Mittellos und stationär",D303&gt;4,D303&lt;=8),107,IF(AND(L300="Mittellos und stationär",D303&gt;2,D303&lt;=4),154,IF(AND(L300="Mittellos und stationär",D303&gt;1,D303&lt;=2),158,IF(AND(L300="Mittellos und stationär",D303&gt;0,D303&lt;=1),241,""))))))))))))))))))))),IF(M299="Stufe C",IF(AND(L300="Auswahl treffen",D303&gt;=0,D303&lt;=1000),J299,IF(AND(L300="Vermögend und ambulant",D303&gt;8,D303&lt;=1000),211,IF(AND(L300="Vermögend und ambulant",D303&gt;4,D303&lt;=8),257,IF(AND(L300="Vermögend und ambulant",D303&gt;2,D303&lt;=4),312,IF(AND(L300="Vermögend und ambulant",D303&gt;1,D303&lt;=2),339,IF(AND(L300="Vermögend und ambulant",D303&gt;0,D303&lt;=1),486,IF(AND(L300="Vermögend und stationär",D303&gt;8,D303&lt;=1000),127,IF(AND(L300="Vermögend und stationär",D303&gt;4,D303&lt;=8),149,IF(AND(L300="Vermögend und stationär",D303&gt;2,D303&lt;=4),229,IF(AND(L300="Vermögend und stationär",D303&gt;1,D303&lt;=2),257,IF(AND(L300="Vermögend und stationär",D303&gt;0,D303&lt;=1),327,IF(AND(L300="Mittellos und ambulant",D303&gt;8,D303&lt;=1000),171,IF(AND(L300="Mittellos und ambulant",D303&gt;4,D303&lt;=8),198,IF(AND(L300="Mittellos und ambulant",D303&gt;2,D303&lt;=4),246,IF(AND(L300="Mittellos und ambulant",D303&gt;1,D303&lt;=2),277,IF(AND(L300="Mittellos und ambulant",D303&gt;0,D303&lt;=1),339,IF(AND(L300="Mittellos und stationär",D303&gt;8,D303&lt;=1000),102,IF(AND(L300="Mittellos und stationär",D303&gt;4,D303&lt;=8),141,IF(AND(L300="Mittellos und stationär",D303&gt;2,D303&lt;=4),202,IF(AND(L300="Mittellos und stationär",D303&gt;1,D303&lt;=2),208,IF(AND(L300="Mittellos und stationär",D303&gt;0,D303&lt;=1),317,""))))))))))))))))))))),"")))*3+(J299*90)</f>
        <v>#NUM!</v>
      </c>
      <c r="M304" s="507" t="str">
        <f>CONCATENATE(K304, K303)</f>
        <v>+Inflat.-P</v>
      </c>
      <c r="N304" s="216"/>
      <c r="O304" s="188" t="s">
        <v>118</v>
      </c>
      <c r="P304" s="188"/>
      <c r="Q304" s="221"/>
      <c r="R304" s="199"/>
      <c r="S304" s="190"/>
      <c r="T304" s="190"/>
      <c r="U304" s="191"/>
      <c r="V304" s="192"/>
      <c r="W304" s="222" t="s">
        <v>118</v>
      </c>
      <c r="X304" s="222" t="s">
        <v>117</v>
      </c>
      <c r="Y304" s="191" t="s">
        <v>26</v>
      </c>
      <c r="Z304" s="192"/>
      <c r="AA304" s="190"/>
      <c r="AB304" s="190"/>
      <c r="AC304" s="191"/>
      <c r="AD304" s="192"/>
      <c r="AE304" s="190"/>
      <c r="AF304" s="190"/>
      <c r="AG304" s="191"/>
      <c r="AH304" s="193"/>
      <c r="AI304" s="190"/>
      <c r="AJ304" s="190"/>
      <c r="AK304" s="374"/>
      <c r="AL304" s="348" t="s">
        <v>149</v>
      </c>
      <c r="AM304" s="354"/>
      <c r="AN304" s="354">
        <f>IF(SUM(O300:O308)=SUM(W300:W308), 0, SUM(O300:O308)-SUM(W300:W308))</f>
        <v>0</v>
      </c>
      <c r="AO304" s="354"/>
      <c r="AP304" s="354"/>
      <c r="AQ304" s="350">
        <f>AM304+AN304+AO304+AP304</f>
        <v>0</v>
      </c>
      <c r="AR304" s="769"/>
      <c r="AS304" s="769"/>
      <c r="AT304" s="769"/>
      <c r="AW304"/>
      <c r="AX304"/>
      <c r="AY304" s="280"/>
      <c r="AZ304"/>
      <c r="BA304"/>
      <c r="BB304"/>
      <c r="BC304"/>
      <c r="BD304"/>
      <c r="BE304"/>
      <c r="BF304"/>
      <c r="BG304" s="280"/>
      <c r="BH304"/>
      <c r="BI304"/>
      <c r="BJ304"/>
      <c r="BK304"/>
      <c r="BL304"/>
      <c r="BM304"/>
      <c r="BN304"/>
      <c r="BO304"/>
    </row>
    <row r="305" spans="1:67" ht="22.25" customHeight="1">
      <c r="A305" s="181">
        <f t="shared" si="101"/>
        <v>45292</v>
      </c>
      <c r="B305" s="484">
        <f>YEAR($A306)-1</f>
        <v>2023</v>
      </c>
      <c r="C305" s="489" t="s">
        <v>158</v>
      </c>
      <c r="D305" s="520" t="e">
        <f>D303+1</f>
        <v>#NUM!</v>
      </c>
      <c r="E305" s="194" t="e">
        <f>DATE(YEAR(E304),MONTH(E304),DAY(E304)+1)</f>
        <v>#NUM!</v>
      </c>
      <c r="F305" s="195" t="e">
        <f t="shared" si="112"/>
        <v>#NUM!</v>
      </c>
      <c r="G305" s="196" t="e">
        <f t="shared" si="113"/>
        <v>#NUM!</v>
      </c>
      <c r="H305" s="195" t="e">
        <f t="shared" si="114"/>
        <v>#NUM!</v>
      </c>
      <c r="I305" s="197">
        <f>IF(J307&lt;13,J307,"")</f>
        <v>9</v>
      </c>
      <c r="J305" s="224">
        <f>G300</f>
        <v>0</v>
      </c>
      <c r="K305" s="501" t="str">
        <f t="shared" si="102"/>
        <v/>
      </c>
      <c r="L305" s="471"/>
      <c r="M305" s="473" t="e">
        <f ca="1">SUM(J300-E306)&amp;" Tage"</f>
        <v>#NUM!</v>
      </c>
      <c r="N305" s="200"/>
      <c r="O305" s="201"/>
      <c r="P305" s="201"/>
      <c r="Q305" s="202"/>
      <c r="R305" s="189"/>
      <c r="S305" s="203"/>
      <c r="T305" s="203"/>
      <c r="U305" s="204"/>
      <c r="V305" s="192"/>
      <c r="W305" s="203"/>
      <c r="X305" s="203"/>
      <c r="Y305" s="204"/>
      <c r="Z305" s="192"/>
      <c r="AA305" s="203"/>
      <c r="AB305" s="203"/>
      <c r="AC305" s="204"/>
      <c r="AD305" s="192"/>
      <c r="AE305" s="203"/>
      <c r="AF305" s="203"/>
      <c r="AG305" s="204"/>
      <c r="AH305" s="193"/>
      <c r="AI305" s="203"/>
      <c r="AJ305" s="203"/>
      <c r="AK305" s="375"/>
      <c r="AL305" s="348"/>
      <c r="AM305" s="354"/>
      <c r="AN305" s="354"/>
      <c r="AO305" s="354"/>
      <c r="AP305" s="354"/>
      <c r="AQ305" s="350"/>
      <c r="AR305" s="769"/>
      <c r="AS305" s="769"/>
      <c r="AT305" s="769"/>
      <c r="AW305"/>
      <c r="AX305"/>
      <c r="AY305" s="280"/>
      <c r="AZ305"/>
      <c r="BA305"/>
      <c r="BB305"/>
      <c r="BC305"/>
      <c r="BD305"/>
      <c r="BE305"/>
      <c r="BF305"/>
      <c r="BG305" s="280"/>
      <c r="BH305"/>
      <c r="BI305"/>
      <c r="BJ305"/>
      <c r="BK305"/>
      <c r="BL305"/>
      <c r="BM305"/>
      <c r="BN305"/>
      <c r="BO305"/>
    </row>
    <row r="306" spans="1:67" ht="22.25" customHeight="1">
      <c r="A306" s="181">
        <f t="shared" si="101"/>
        <v>45292</v>
      </c>
      <c r="B306" s="485"/>
      <c r="C306" s="490"/>
      <c r="D306" s="521"/>
      <c r="E306" s="194" t="e">
        <f>DATE(YEAR(E305),MONTH(E305)+3,DAY(E305)-1)</f>
        <v>#NUM!</v>
      </c>
      <c r="F306" s="195" t="e">
        <f t="shared" si="112"/>
        <v>#NUM!</v>
      </c>
      <c r="G306" s="196" t="e">
        <f t="shared" si="113"/>
        <v>#NUM!</v>
      </c>
      <c r="H306" s="195" t="e">
        <f t="shared" si="114"/>
        <v>#NUM!</v>
      </c>
      <c r="I306" s="244">
        <f>IF(J308&lt;13,J308,"")</f>
        <v>6</v>
      </c>
      <c r="J306" s="224">
        <f>J305+3</f>
        <v>3</v>
      </c>
      <c r="K306" s="501" t="str">
        <f t="shared" si="102"/>
        <v>+Inflat.-P</v>
      </c>
      <c r="L306" s="511" t="e">
        <f>IF(M299="Stufe A",IF(AND(L300="Auswahl treffen",D305&gt;=0,D305&lt;=1000),J299,IF(AND(L300="Vermögend und ambulant",D305&gt;8,D305&lt;=1000),130,IF(AND(L300="Vermögend und ambulant",D305&gt;4,D305&lt;=8),158,IF(AND(L300="Vermögend und ambulant",D305&gt;2,D305&lt;=4),192,IF(AND(L300="Vermögend und ambulant",D305&gt;1,D305&lt;=2),208,IF(AND(L300="Vermögend und ambulant",D305&gt;0,D305&lt;=1),298,IF(AND(L300="Vermögend und stationär",D305&gt;8,D305&lt;=1000),78,IF(AND(L300="Vermögend und stationär",D305&gt;4,D305&lt;=8),91,IF(AND(L300="Vermögend und stationär",D305&gt;2,D305&lt;=4),140,IF(AND(L300="Vermögend und stationär",D305&gt;1,D305&lt;=2),158,IF(AND(L300="Vermögend und stationär",D305&gt;0,D305&lt;=1),200,IF(AND(L300="Mittellos und ambulant",D305&gt;8,D305&lt;=1000),105,IF(AND(L300="Mittellos und ambulant",D305&gt;4,D305&lt;=8),122,IF(AND(L300="Mittellos und ambulant",D305&gt;2,D305&lt;=4),151,IF(AND(L300="Mittellos und ambulant",D305&gt;1,D305&lt;=2),170,IF(AND(L300="Mittellos und ambulant",D305&gt;0,D305&lt;=1),208,IF(AND(L300="Mittellos und stationär",D305&gt;8,D305&lt;=1000),62,IF(AND(L300="Mittellos und stationär",D305&gt;4,D305&lt;=8),87,IF(AND(L300="Mittellos und stationär",D305&gt;2,D305&lt;=4),124,IF(AND(L300="Mittellos und stationär",D305&gt;1,D305&lt;=2),129,IF(AND(L300="Mittellos und stationär",D305&gt;0,D305&lt;=1),194,""))))))))))))))))))))),IF(M299="Stufe B",IF(AND(L300="Auswahl treffen",D305&gt;=0,D305&lt;=1000),J299,IF(AND(L300="Vermögend und ambulant",D305&gt;8,D305&lt;=1000),161,IF(AND(L300="Vermögend und ambulant",D305&gt;4,D305&lt;=8),196,IF(AND(L300="Vermögend und ambulant",D305&gt;2,D305&lt;=4),238,IF(AND(L300="Vermögend und ambulant",D305&gt;1,D305&lt;=2),258,IF(AND(L300="Vermögend und ambulant",D305&gt;0,D305&lt;=1),370,IF(AND(L300="Vermögend und stationär",D305&gt;8,D305&lt;=1000),96,IF(AND(L300="Vermögend und stationär",D305&gt;4,D305&lt;=8),113,IF(AND(L300="Vermögend und stationär",D305&gt;2,D305&lt;=4),174,IF(AND(L300="Vermögend und stationär",D305&gt;1,D305&lt;=2),196,IF(AND(L300="Vermögend und stationär",D305&gt;0,D305&lt;=1),249,IF(AND(L300="Mittellos und ambulant",D305&gt;8,D305&lt;=1000),130,IF(AND(L300="Mittellos und ambulant",D305&gt;4,D305&lt;=8),151,IF(AND(L300="Mittellos und ambulant",D305&gt;2,D305&lt;=4),188,IF(AND(L300="Mittellos und ambulant",D305&gt;1,D305&lt;=2),211,IF(AND(L300="Mittellos und ambulant",D305&gt;0,D305&lt;=1),258,IF(AND(L300="Mittellos und stationär",D305&gt;8,D305&lt;=1000),78,IF(AND(L300="Mittellos und stationär",D305&gt;4,D305&lt;=8),107,IF(AND(L300="Mittellos und stationär",D305&gt;2,D305&lt;=4),154,IF(AND(L300="Mittellos und stationär",D305&gt;1,D305&lt;=2),158,IF(AND(L300="Mittellos und stationär",D305&gt;0,D305&lt;=1),241,""))))))))))))))))))))),IF(M299="Stufe C",IF(AND(L300="Auswahl treffen",D305&gt;=0,D305&lt;=1000),J299,IF(AND(L300="Vermögend und ambulant",D305&gt;8,D305&lt;=1000),211,IF(AND(L300="Vermögend und ambulant",D305&gt;4,D305&lt;=8),257,IF(AND(L300="Vermögend und ambulant",D305&gt;2,D305&lt;=4),312,IF(AND(L300="Vermögend und ambulant",D305&gt;1,D305&lt;=2),339,IF(AND(L300="Vermögend und ambulant",D305&gt;0,D305&lt;=1),486,IF(AND(L300="Vermögend und stationär",D305&gt;8,D305&lt;=1000),127,IF(AND(L300="Vermögend und stationär",D305&gt;4,D305&lt;=8),149,IF(AND(L300="Vermögend und stationär",D305&gt;2,D305&lt;=4),229,IF(AND(L300="Vermögend und stationär",D305&gt;1,D305&lt;=2),257,IF(AND(L300="Vermögend und stationär",D305&gt;0,D305&lt;=1),327,IF(AND(L300="Mittellos und ambulant",D305&gt;8,D305&lt;=1000),171,IF(AND(L300="Mittellos und ambulant",D305&gt;4,D305&lt;=8),198,IF(AND(L300="Mittellos und ambulant",D305&gt;2,D305&lt;=4),246,IF(AND(L300="Mittellos und ambulant",D305&gt;1,D305&lt;=2),277,IF(AND(L300="Mittellos und ambulant",D305&gt;0,D305&lt;=1),339,IF(AND(L300="Mittellos und stationär",D305&gt;8,D305&lt;=1000),102,IF(AND(L300="Mittellos und stationär",D305&gt;4,D305&lt;=8),141,IF(AND(L300="Mittellos und stationär",D305&gt;2,D305&lt;=4),202,IF(AND(L300="Mittellos und stationär",D305&gt;1,D305&lt;=2),208,IF(AND(L300="Mittellos und stationär",D305&gt;0,D305&lt;=1),317,""))))))))))))))))))))),"")))*3+(J299*90)</f>
        <v>#NUM!</v>
      </c>
      <c r="M306" s="507" t="str">
        <f>CONCATENATE(K306, K305)</f>
        <v>+Inflat.-P</v>
      </c>
      <c r="N306" s="206"/>
      <c r="O306" s="207"/>
      <c r="P306" s="206" t="s">
        <v>118</v>
      </c>
      <c r="Q306" s="226"/>
      <c r="R306" s="189"/>
      <c r="S306" s="203"/>
      <c r="T306" s="203"/>
      <c r="U306" s="204"/>
      <c r="V306" s="192"/>
      <c r="W306" s="203"/>
      <c r="X306" s="203"/>
      <c r="Y306" s="204"/>
      <c r="Z306" s="192"/>
      <c r="AA306" s="209" t="s">
        <v>118</v>
      </c>
      <c r="AB306" s="209" t="s">
        <v>117</v>
      </c>
      <c r="AC306" s="204" t="s">
        <v>26</v>
      </c>
      <c r="AD306" s="192"/>
      <c r="AE306" s="203"/>
      <c r="AF306" s="203"/>
      <c r="AG306" s="204"/>
      <c r="AH306" s="193"/>
      <c r="AI306" s="203"/>
      <c r="AJ306" s="203"/>
      <c r="AK306" s="375"/>
      <c r="AL306" s="348" t="s">
        <v>150</v>
      </c>
      <c r="AM306" s="354"/>
      <c r="AN306" s="354"/>
      <c r="AO306" s="354">
        <f>IF(SUM(P300:P308)=SUM(AA300:AA308), 0, SUM(P300:P308)-SUM(AA300:AA308))</f>
        <v>0</v>
      </c>
      <c r="AP306" s="354"/>
      <c r="AQ306" s="350">
        <f>AM306+AN306+AO306+AP306</f>
        <v>0</v>
      </c>
      <c r="AR306" s="769"/>
      <c r="AS306" s="769"/>
      <c r="AT306" s="769"/>
      <c r="AW306"/>
      <c r="AX306"/>
      <c r="AY306" s="280"/>
      <c r="AZ306"/>
      <c r="BA306"/>
      <c r="BB306"/>
      <c r="BC306"/>
      <c r="BD306"/>
      <c r="BE306"/>
      <c r="BF306"/>
      <c r="BG306" s="280"/>
      <c r="BH306"/>
      <c r="BI306"/>
      <c r="BJ306"/>
      <c r="BK306"/>
      <c r="BL306"/>
      <c r="BM306"/>
      <c r="BN306"/>
      <c r="BO306"/>
    </row>
    <row r="307" spans="1:67" ht="22.25" customHeight="1">
      <c r="A307" s="181">
        <f t="shared" si="101"/>
        <v>45292</v>
      </c>
      <c r="B307" s="486"/>
      <c r="C307" s="489" t="s">
        <v>158</v>
      </c>
      <c r="D307" s="522" t="e">
        <f>D305+1</f>
        <v>#NUM!</v>
      </c>
      <c r="E307" s="211" t="e">
        <f>DATE(YEAR(E306),MONTH(E306),DAY(E306)+1)</f>
        <v>#NUM!</v>
      </c>
      <c r="F307" s="227" t="e">
        <f t="shared" si="112"/>
        <v>#NUM!</v>
      </c>
      <c r="G307" s="228" t="e">
        <f t="shared" si="113"/>
        <v>#NUM!</v>
      </c>
      <c r="H307" s="227" t="e">
        <f t="shared" si="114"/>
        <v>#NUM!</v>
      </c>
      <c r="I307" s="231">
        <f>IF(J306&lt;13,J306,"")</f>
        <v>3</v>
      </c>
      <c r="J307" s="230">
        <f>J308+3</f>
        <v>9</v>
      </c>
      <c r="K307" s="506" t="str">
        <f t="shared" si="102"/>
        <v/>
      </c>
      <c r="L307" s="471"/>
      <c r="M307" s="473" t="e">
        <f ca="1">SUM(J300-E308)&amp;" Tage"</f>
        <v>#NUM!</v>
      </c>
      <c r="N307" s="216"/>
      <c r="O307" s="188"/>
      <c r="P307" s="188"/>
      <c r="Q307" s="217"/>
      <c r="R307" s="189"/>
      <c r="S307" s="190"/>
      <c r="T307" s="190"/>
      <c r="U307" s="191"/>
      <c r="V307" s="192"/>
      <c r="W307" s="190"/>
      <c r="X307" s="190"/>
      <c r="Y307" s="191"/>
      <c r="Z307" s="192"/>
      <c r="AA307" s="190"/>
      <c r="AB307" s="190"/>
      <c r="AC307" s="191"/>
      <c r="AD307" s="192"/>
      <c r="AE307" s="190"/>
      <c r="AF307" s="190"/>
      <c r="AG307" s="191"/>
      <c r="AH307" s="193"/>
      <c r="AI307" s="190"/>
      <c r="AJ307" s="190"/>
      <c r="AK307" s="374"/>
      <c r="AL307" s="348"/>
      <c r="AM307" s="354"/>
      <c r="AN307" s="354"/>
      <c r="AO307" s="354"/>
      <c r="AP307" s="354"/>
      <c r="AQ307" s="350"/>
      <c r="AR307" s="769"/>
      <c r="AS307" s="769"/>
      <c r="AT307" s="769"/>
      <c r="AW307"/>
      <c r="AX307"/>
      <c r="AY307" s="280"/>
      <c r="AZ307"/>
      <c r="BA307"/>
      <c r="BB307"/>
      <c r="BC307"/>
      <c r="BD307"/>
      <c r="BE307"/>
      <c r="BF307"/>
      <c r="BG307" s="280"/>
      <c r="BH307"/>
      <c r="BI307"/>
      <c r="BJ307"/>
      <c r="BK307"/>
      <c r="BL307"/>
      <c r="BM307"/>
      <c r="BN307"/>
      <c r="BO307"/>
    </row>
    <row r="308" spans="1:67" ht="22.25" customHeight="1">
      <c r="A308" s="181">
        <f t="shared" si="101"/>
        <v>45292</v>
      </c>
      <c r="B308" s="485"/>
      <c r="C308" s="490"/>
      <c r="D308" s="521"/>
      <c r="E308" s="218" t="e">
        <f>DATE(YEAR(E307),MONTH(E307)+3,DAY(E307)-1)</f>
        <v>#NUM!</v>
      </c>
      <c r="F308" s="227" t="e">
        <f t="shared" si="112"/>
        <v>#NUM!</v>
      </c>
      <c r="G308" s="228" t="e">
        <f t="shared" si="113"/>
        <v>#NUM!</v>
      </c>
      <c r="H308" s="227" t="e">
        <f t="shared" si="114"/>
        <v>#NUM!</v>
      </c>
      <c r="I308" s="231">
        <f>IF(J305&lt;13,J305,"")</f>
        <v>0</v>
      </c>
      <c r="J308" s="230">
        <f>J306+3</f>
        <v>6</v>
      </c>
      <c r="K308" s="501" t="str">
        <f t="shared" si="102"/>
        <v>+Inflat.-P</v>
      </c>
      <c r="L308" s="508" t="e">
        <f>IF(M299="Stufe A",IF(AND(L300="Auswahl treffen",D307&gt;=0,D307&lt;=1000),J299,IF(AND(L300="Vermögend und ambulant",D307&gt;8,D307&lt;=1000),130,IF(AND(L300="Vermögend und ambulant",D307&gt;4,D307&lt;=8),158,IF(AND(L300="Vermögend und ambulant",D307&gt;2,D307&lt;=4),192,IF(AND(L300="Vermögend und ambulant",D307&gt;1,D307&lt;=2),208,IF(AND(L300="Vermögend und ambulant",D307&gt;0,D307&lt;=1),298,IF(AND(L300="Vermögend und stationär",D307&gt;8,D307&lt;=1000),78,IF(AND(L300="Vermögend und stationär",D307&gt;4,D307&lt;=8),91,IF(AND(L300="Vermögend und stationär",D307&gt;2,D307&lt;=4),140,IF(AND(L300="Vermögend und stationär",D307&gt;1,D307&lt;=2),158,IF(AND(L300="Vermögend und stationär",D307&gt;0,D307&lt;=1),200,IF(AND(L300="Mittellos und ambulant",D307&gt;8,D307&lt;=1000),105,IF(AND(L300="Mittellos und ambulant",D307&gt;4,D307&lt;=8),122,IF(AND(L300="Mittellos und ambulant",D307&gt;2,D307&lt;=4),151,IF(AND(L300="Mittellos und ambulant",D307&gt;1,D307&lt;=2),170,IF(AND(L300="Mittellos und ambulant",D307&gt;0,D307&lt;=1),208,IF(AND(L300="Mittellos und stationär",D307&gt;8,D307&lt;=1000),62,IF(AND(L300="Mittellos und stationär",D307&gt;4,D307&lt;=8),87,IF(AND(L300="Mittellos und stationär",D307&gt;2,D307&lt;=4),124,IF(AND(L300="Mittellos und stationär",D307&gt;1,D307&lt;=2),129,IF(AND(L300="Mittellos und stationär",D307&gt;0,D307&lt;=1),194,""))))))))))))))))))))),IF(M299="Stufe B",IF(AND(L300="Auswahl treffen",D307&gt;=0,D307&lt;=1000),J299,IF(AND(L300="Vermögend und ambulant",D307&gt;8,D307&lt;=1000),161,IF(AND(L300="Vermögend und ambulant",D307&gt;4,D307&lt;=8),196,IF(AND(L300="Vermögend und ambulant",D307&gt;2,D307&lt;=4),238,IF(AND(L300="Vermögend und ambulant",D307&gt;1,D307&lt;=2),258,IF(AND(L300="Vermögend und ambulant",D307&gt;0,D307&lt;=1),370,IF(AND(L300="Vermögend und stationär",D307&gt;8,D307&lt;=1000),96,IF(AND(L300="Vermögend und stationär",D307&gt;4,D307&lt;=8),113,IF(AND(L300="Vermögend und stationär",D307&gt;2,D307&lt;=4),174,IF(AND(L300="Vermögend und stationär",D307&gt;1,D307&lt;=2),196,IF(AND(L300="Vermögend und stationär",D307&gt;0,D307&lt;=1),249,IF(AND(L300="Mittellos und ambulant",D307&gt;8,D307&lt;=1000),130,IF(AND(L300="Mittellos und ambulant",D307&gt;4,D307&lt;=8),151,IF(AND(L300="Mittellos und ambulant",D307&gt;2,D307&lt;=4),188,IF(AND(L300="Mittellos und ambulant",D307&gt;1,D307&lt;=2),211,IF(AND(L300="Mittellos und ambulant",D307&gt;0,D307&lt;=1),258,IF(AND(L300="Mittellos und stationär",D307&gt;8,D307&lt;=1000),78,IF(AND(L300="Mittellos und stationär",D307&gt;4,D307&lt;=8),107,IF(AND(L300="Mittellos und stationär",D307&gt;2,D307&lt;=4),154,IF(AND(L300="Mittellos und stationär",D307&gt;1,D307&lt;=2),158,IF(AND(L300="Mittellos und stationär",D307&gt;0,D307&lt;=1),241,""))))))))))))))))))))),IF(M299="Stufe C",IF(AND(L300="Auswahl treffen",D307&gt;=0,D307&lt;=1000),J299,IF(AND(L300="Vermögend und ambulant",D307&gt;8,D307&lt;=1000),211,IF(AND(L300="Vermögend und ambulant",D307&gt;4,D307&lt;=8),257,IF(AND(L300="Vermögend und ambulant",D307&gt;2,D307&lt;=4),312,IF(AND(L300="Vermögend und ambulant",D307&gt;1,D307&lt;=2),339,IF(AND(L300="Vermögend und ambulant",D307&gt;0,D307&lt;=1),486,IF(AND(L300="Vermögend und stationär",D307&gt;8,D307&lt;=1000),127,IF(AND(L300="Vermögend und stationär",D307&gt;4,D307&lt;=8),149,IF(AND(L300="Vermögend und stationär",D307&gt;2,D307&lt;=4),229,IF(AND(L300="Vermögend und stationär",D307&gt;1,D307&lt;=2),257,IF(AND(L300="Vermögend und stationär",D307&gt;0,D307&lt;=1),327,IF(AND(L300="Mittellos und ambulant",D307&gt;8,D307&lt;=1000),171,IF(AND(L300="Mittellos und ambulant",D307&gt;4,D307&lt;=8),198,IF(AND(L300="Mittellos und ambulant",D307&gt;2,D307&lt;=4),246,IF(AND(L300="Mittellos und ambulant",D307&gt;1,D307&lt;=2),277,IF(AND(L300="Mittellos und ambulant",D307&gt;0,D307&lt;=1),339,IF(AND(L300="Mittellos und stationär",D307&gt;8,D307&lt;=1000),102,IF(AND(L300="Mittellos und stationär",D307&gt;4,D307&lt;=8),141,IF(AND(L300="Mittellos und stationär",D307&gt;2,D307&lt;=4),202,IF(AND(L300="Mittellos und stationär",D307&gt;1,D307&lt;=2),208,IF(AND(L300="Mittellos und stationär",D307&gt;0,D307&lt;=1),317,""))))))))))))))))))))),"")))*3+(J299*90)</f>
        <v>#NUM!</v>
      </c>
      <c r="M308" s="507" t="str">
        <f>CONCATENATE(K308, K307)</f>
        <v>+Inflat.-P</v>
      </c>
      <c r="N308" s="216"/>
      <c r="O308" s="188"/>
      <c r="P308" s="188"/>
      <c r="Q308" s="217" t="s">
        <v>118</v>
      </c>
      <c r="R308" s="189"/>
      <c r="S308" s="190"/>
      <c r="T308" s="190"/>
      <c r="U308" s="191"/>
      <c r="V308" s="192"/>
      <c r="W308" s="190"/>
      <c r="X308" s="190"/>
      <c r="Y308" s="191"/>
      <c r="Z308" s="192"/>
      <c r="AA308" s="190"/>
      <c r="AB308" s="190"/>
      <c r="AC308" s="191"/>
      <c r="AD308" s="192"/>
      <c r="AE308" s="190" t="s">
        <v>118</v>
      </c>
      <c r="AF308" s="190" t="s">
        <v>117</v>
      </c>
      <c r="AG308" s="191" t="s">
        <v>26</v>
      </c>
      <c r="AH308" s="193"/>
      <c r="AI308" s="190" t="s">
        <v>118</v>
      </c>
      <c r="AJ308" s="190" t="s">
        <v>117</v>
      </c>
      <c r="AK308" s="374" t="s">
        <v>26</v>
      </c>
      <c r="AL308" s="348" t="s">
        <v>151</v>
      </c>
      <c r="AM308" s="354"/>
      <c r="AN308" s="354"/>
      <c r="AO308" s="354"/>
      <c r="AP308" s="354">
        <f>IF(SUM(Q300:Q308)=SUM(AE300:AE308,AI300:AI308), 0, SUM(Q300:Q308)-SUM(AE300:AE308,AI300:AI308))</f>
        <v>0</v>
      </c>
      <c r="AQ308" s="350">
        <f>AM308+AN308+AO308+AP308</f>
        <v>0</v>
      </c>
      <c r="AR308" s="769"/>
      <c r="AS308" s="769"/>
      <c r="AT308" s="769"/>
      <c r="AW308"/>
      <c r="AX308"/>
      <c r="AY308" s="280"/>
      <c r="AZ308"/>
      <c r="BA308"/>
      <c r="BB308"/>
      <c r="BC308"/>
      <c r="BD308"/>
      <c r="BE308"/>
      <c r="BF308"/>
      <c r="BG308" s="280"/>
      <c r="BH308"/>
      <c r="BI308"/>
      <c r="BJ308"/>
      <c r="BK308"/>
      <c r="BL308"/>
      <c r="BM308"/>
      <c r="BN308"/>
      <c r="BO308"/>
    </row>
    <row r="309" spans="1:67" ht="22" customHeight="1">
      <c r="A309" s="181">
        <f t="shared" si="101"/>
        <v>45292</v>
      </c>
      <c r="B309" s="232" t="s">
        <v>74</v>
      </c>
      <c r="C309" s="233" t="s">
        <v>75</v>
      </c>
      <c r="D309" s="234" t="s">
        <v>76</v>
      </c>
      <c r="E309" s="235" t="s">
        <v>11</v>
      </c>
      <c r="F309" s="235" t="s">
        <v>4</v>
      </c>
      <c r="G309" s="235" t="s">
        <v>5</v>
      </c>
      <c r="H309" s="235" t="s">
        <v>6</v>
      </c>
      <c r="I309" s="236" t="s">
        <v>77</v>
      </c>
      <c r="J309" s="306"/>
      <c r="K309" s="506" t="str">
        <f t="shared" si="102"/>
        <v/>
      </c>
      <c r="L309" s="306" t="str">
        <f>IFERROR(VLOOKUP(B310,'Aktuelle Einnahmen'!A2:J104,10,0),"")</f>
        <v/>
      </c>
      <c r="M309" s="510" t="str">
        <f>M299</f>
        <v>Stufe C</v>
      </c>
      <c r="N309" s="237"/>
      <c r="O309" s="238"/>
      <c r="P309" s="238"/>
      <c r="Q309" s="239"/>
      <c r="R309" s="240"/>
      <c r="S309" s="241"/>
      <c r="T309" s="241"/>
      <c r="U309" s="242"/>
      <c r="V309" s="243"/>
      <c r="W309" s="241"/>
      <c r="X309" s="241"/>
      <c r="Y309" s="242"/>
      <c r="Z309" s="243"/>
      <c r="AA309" s="241"/>
      <c r="AB309" s="241"/>
      <c r="AC309" s="242"/>
      <c r="AD309" s="243"/>
      <c r="AE309" s="241"/>
      <c r="AF309" s="241"/>
      <c r="AG309" s="242"/>
      <c r="AH309" s="240"/>
      <c r="AI309" s="241"/>
      <c r="AJ309" s="241"/>
      <c r="AK309" s="377"/>
      <c r="AL309" s="347"/>
      <c r="AM309" s="353"/>
      <c r="AN309" s="353"/>
      <c r="AO309" s="353"/>
      <c r="AP309" s="353"/>
      <c r="AQ309" s="349"/>
      <c r="AR309" s="768"/>
      <c r="AS309" s="768"/>
      <c r="AT309" s="768"/>
      <c r="AW309"/>
      <c r="AX309"/>
      <c r="AY309" s="280"/>
      <c r="AZ309"/>
      <c r="BA309"/>
      <c r="BB309"/>
      <c r="BC309"/>
      <c r="BD309"/>
      <c r="BE309"/>
      <c r="BF309"/>
      <c r="BG309" s="280"/>
      <c r="BH309"/>
      <c r="BI309"/>
      <c r="BJ309"/>
      <c r="BK309"/>
      <c r="BL309"/>
      <c r="BM309"/>
      <c r="BN309"/>
      <c r="BO309"/>
    </row>
    <row r="310" spans="1:67" ht="23" customHeight="1">
      <c r="A310" s="181">
        <f t="shared" si="101"/>
        <v>45292</v>
      </c>
      <c r="B310" s="182">
        <v>31</v>
      </c>
      <c r="C310" s="245">
        <f>IFERROR(VLOOKUP($B310,'Aktuelle Einnahmen'!A2:G104,3,0),"")</f>
        <v>0</v>
      </c>
      <c r="D310" s="246">
        <f>IFERROR(VLOOKUP($B310,'Aktuelle Einnahmen'!A2:G104,2,0),"")</f>
        <v>0</v>
      </c>
      <c r="E310" s="247">
        <f>IFERROR(VLOOKUP($B310,'Aktuelle Einnahmen'!A2:G104,4,0),"")</f>
        <v>0</v>
      </c>
      <c r="F310" s="94">
        <f>IFERROR(VLOOKUP($B310,'Aktuelle Einnahmen'!A2:G104,5,0),"")</f>
        <v>0</v>
      </c>
      <c r="G310" s="94">
        <f>IFERROR(VLOOKUP($B310,'Aktuelle Einnahmen'!A2:G104,6,0),"")</f>
        <v>0</v>
      </c>
      <c r="H310" s="94">
        <f>IFERROR(VLOOKUP($B310,'Aktuelle Einnahmen'!A2:G104,7,0),"")</f>
        <v>0</v>
      </c>
      <c r="I310" s="186" t="e">
        <f>DATE(H310,G310,F310)</f>
        <v>#NUM!</v>
      </c>
      <c r="J310" s="472">
        <f ca="1">J300</f>
        <v>45475</v>
      </c>
      <c r="K310" s="501" t="str">
        <f t="shared" si="102"/>
        <v>+Inflat.-P</v>
      </c>
      <c r="L310" s="1262" t="str">
        <f>IFERROR(VLOOKUP(B310,'Aktuelle Einnahmen'!A12:I114,9,0),"")</f>
        <v>Auswahl treffen</v>
      </c>
      <c r="M310" s="1263"/>
      <c r="N310" s="261"/>
      <c r="O310" s="261"/>
      <c r="P310" s="261"/>
      <c r="Q310" s="261"/>
      <c r="R310" s="189"/>
      <c r="S310" s="190"/>
      <c r="T310" s="190"/>
      <c r="U310" s="191"/>
      <c r="V310" s="192"/>
      <c r="W310" s="190"/>
      <c r="X310" s="190"/>
      <c r="Y310" s="191"/>
      <c r="Z310" s="192"/>
      <c r="AA310" s="190"/>
      <c r="AB310" s="190"/>
      <c r="AC310" s="191"/>
      <c r="AD310" s="192"/>
      <c r="AE310" s="190"/>
      <c r="AF310" s="190"/>
      <c r="AG310" s="191"/>
      <c r="AH310" s="193"/>
      <c r="AI310" s="190"/>
      <c r="AJ310" s="190"/>
      <c r="AK310" s="374"/>
      <c r="AL310" s="348"/>
      <c r="AM310" s="354"/>
      <c r="AN310" s="354"/>
      <c r="AO310" s="354"/>
      <c r="AP310" s="354"/>
      <c r="AQ310" s="350"/>
      <c r="AR310" s="769"/>
      <c r="AS310" s="769"/>
      <c r="AT310" s="769"/>
      <c r="AW310"/>
      <c r="AX310"/>
      <c r="AY310" s="280"/>
      <c r="AZ310"/>
      <c r="BA310"/>
      <c r="BB310"/>
      <c r="BC310"/>
      <c r="BD310"/>
      <c r="BE310"/>
      <c r="BF310"/>
      <c r="BG310" s="280"/>
      <c r="BH310"/>
      <c r="BI310"/>
      <c r="BJ310"/>
      <c r="BK310"/>
      <c r="BL310"/>
      <c r="BM310"/>
      <c r="BN310"/>
      <c r="BO310"/>
    </row>
    <row r="311" spans="1:67" ht="22.25" customHeight="1">
      <c r="A311" s="181">
        <f t="shared" si="101"/>
        <v>45292</v>
      </c>
      <c r="B311" s="484" t="e">
        <f>DAY(I310)</f>
        <v>#NUM!</v>
      </c>
      <c r="C311" s="489" t="s">
        <v>158</v>
      </c>
      <c r="D311" s="520" t="e">
        <f>(I311*4)+J311/3+1</f>
        <v>#NUM!</v>
      </c>
      <c r="E311" s="194" t="e">
        <f>J313+1</f>
        <v>#NUM!</v>
      </c>
      <c r="F311" s="195" t="e">
        <f t="shared" ref="F311:F318" si="115">DAY(E311)</f>
        <v>#NUM!</v>
      </c>
      <c r="G311" s="196" t="e">
        <f t="shared" ref="G311:G318" si="116">MONTH(E311)</f>
        <v>#NUM!</v>
      </c>
      <c r="H311" s="195" t="e">
        <f t="shared" ref="H311:H318" si="117">YEAR(E311)</f>
        <v>#NUM!</v>
      </c>
      <c r="I311" s="197" t="e">
        <f>H311-(H310+2000)</f>
        <v>#NUM!</v>
      </c>
      <c r="J311" s="198" t="e">
        <f>G311-G310</f>
        <v>#NUM!</v>
      </c>
      <c r="K311" s="506" t="str">
        <f>L309</f>
        <v/>
      </c>
      <c r="L311" s="469"/>
      <c r="M311" s="473" t="e">
        <f ca="1">SUM(J310-E312)&amp;" Tage"</f>
        <v>#NUM!</v>
      </c>
      <c r="N311" s="206"/>
      <c r="O311" s="201"/>
      <c r="P311" s="201"/>
      <c r="Q311" s="202"/>
      <c r="R311" s="189"/>
      <c r="S311" s="203"/>
      <c r="T311" s="203"/>
      <c r="U311" s="204"/>
      <c r="V311" s="192"/>
      <c r="W311" s="203"/>
      <c r="X311" s="203"/>
      <c r="Y311" s="204"/>
      <c r="Z311" s="192"/>
      <c r="AA311" s="203"/>
      <c r="AB311" s="203"/>
      <c r="AC311" s="204"/>
      <c r="AD311" s="192"/>
      <c r="AE311" s="203"/>
      <c r="AF311" s="203"/>
      <c r="AG311" s="204"/>
      <c r="AH311" s="193"/>
      <c r="AI311" s="203"/>
      <c r="AJ311" s="203"/>
      <c r="AK311" s="375"/>
      <c r="AL311" s="348"/>
      <c r="AM311" s="354"/>
      <c r="AN311" s="354"/>
      <c r="AO311" s="354"/>
      <c r="AP311" s="354"/>
      <c r="AQ311" s="350"/>
      <c r="AR311" s="769"/>
      <c r="AS311" s="769"/>
      <c r="AT311" s="769"/>
      <c r="AW311"/>
      <c r="AX311"/>
      <c r="AY311" s="280"/>
      <c r="AZ311"/>
      <c r="BA311"/>
      <c r="BB311"/>
      <c r="BC311"/>
      <c r="BD311"/>
      <c r="BE311"/>
      <c r="BF311"/>
      <c r="BG311" s="280"/>
      <c r="BH311"/>
      <c r="BI311"/>
      <c r="BJ311"/>
      <c r="BK311"/>
      <c r="BL311"/>
      <c r="BM311"/>
      <c r="BN311"/>
      <c r="BO311"/>
    </row>
    <row r="312" spans="1:67" ht="22.25" customHeight="1">
      <c r="A312" s="181">
        <f t="shared" si="101"/>
        <v>45292</v>
      </c>
      <c r="B312" s="485"/>
      <c r="C312" s="490"/>
      <c r="D312" s="521"/>
      <c r="E312" s="194" t="e">
        <f>DATE(YEAR(E311),MONTH(E311)+3,DAY(E311)-1)</f>
        <v>#NUM!</v>
      </c>
      <c r="F312" s="195" t="e">
        <f t="shared" si="115"/>
        <v>#NUM!</v>
      </c>
      <c r="G312" s="196" t="e">
        <f t="shared" si="116"/>
        <v>#NUM!</v>
      </c>
      <c r="H312" s="195" t="e">
        <f t="shared" si="117"/>
        <v>#NUM!</v>
      </c>
      <c r="I312" s="244">
        <v>-1</v>
      </c>
      <c r="J312" s="198" t="e">
        <f>F311-F310</f>
        <v>#NUM!</v>
      </c>
      <c r="K312" s="501" t="str">
        <f t="shared" si="102"/>
        <v>+Inflat.-P</v>
      </c>
      <c r="L312" s="511" t="e">
        <f>IF(M309="Stufe A",IF(AND(L310="Auswahl treffen",D311&gt;=0,D311&lt;=1000),J309,IF(AND(L310="Vermögend und ambulant",D311&gt;8,D311&lt;=1000),130,IF(AND(L310="Vermögend und ambulant",D311&gt;4,D311&lt;=8),158,IF(AND(L310="Vermögend und ambulant",D311&gt;2,D311&lt;=4),192,IF(AND(L310="Vermögend und ambulant",D311&gt;1,D311&lt;=2),208,IF(AND(L310="Vermögend und ambulant",D311&gt;0,D311&lt;=1),298,IF(AND(L310="Vermögend und stationär",D311&gt;8,D311&lt;=1000),78,IF(AND(L310="Vermögend und stationär",D311&gt;4,D311&lt;=8),91,IF(AND(L310="Vermögend und stationär",D311&gt;2,D311&lt;=4),140,IF(AND(L310="Vermögend und stationär",D311&gt;1,D311&lt;=2),158,IF(AND(L310="Vermögend und stationär",D311&gt;0,D311&lt;=1),200,IF(AND(L310="Mittellos und ambulant",D311&gt;8,D311&lt;=1000),105,IF(AND(L310="Mittellos und ambulant",D311&gt;4,D311&lt;=8),122,IF(AND(L310="Mittellos und ambulant",D311&gt;2,D311&lt;=4),151,IF(AND(L310="Mittellos und ambulant",D311&gt;1,D311&lt;=2),170,IF(AND(L310="Mittellos und ambulant",D311&gt;0,D311&lt;=1),208,IF(AND(L310="Mittellos und stationär",D311&gt;8,D311&lt;=1000),62,IF(AND(L310="Mittellos und stationär",D311&gt;4,D311&lt;=8),87,IF(AND(L310="Mittellos und stationär",D311&gt;2,D311&lt;=4),124,IF(AND(L310="Mittellos und stationär",D311&gt;1,D311&lt;=2),129,IF(AND(L310="Mittellos und stationär",D311&gt;0,D311&lt;=1),194,""))))))))))))))))))))),IF(M309="Stufe B",IF(AND(L310="Auswahl treffen",D311&gt;=0,D311&lt;=1000),J309,IF(AND(L310="Vermögend und ambulant",D311&gt;8,D311&lt;=1000),161,IF(AND(L310="Vermögend und ambulant",D311&gt;4,D311&lt;=8),196,IF(AND(L310="Vermögend und ambulant",D311&gt;2,D311&lt;=4),238,IF(AND(L310="Vermögend und ambulant",D311&gt;1,D311&lt;=2),258,IF(AND(L310="Vermögend und ambulant",D311&gt;0,D311&lt;=1),370,IF(AND(L310="Vermögend und stationär",D311&gt;8,D311&lt;=1000),96,IF(AND(L310="Vermögend und stationär",D311&gt;4,D311&lt;=8),113,IF(AND(L310="Vermögend und stationär",D311&gt;2,D311&lt;=4),174,IF(AND(L310="Vermögend und stationär",D311&gt;1,D311&lt;=2),196,IF(AND(L310="Vermögend und stationär",D311&gt;0,D311&lt;=1),249,IF(AND(L310="Mittellos und ambulant",D311&gt;8,D311&lt;=1000),130,IF(AND(L310="Mittellos und ambulant",D311&gt;4,D311&lt;=8),151,IF(AND(L310="Mittellos und ambulant",D311&gt;2,D311&lt;=4),188,IF(AND(L310="Mittellos und ambulant",D311&gt;1,D311&lt;=2),211,IF(AND(L310="Mittellos und ambulant",D311&gt;0,D311&lt;=1),258,IF(AND(L310="Mittellos und stationär",D311&gt;8,D311&lt;=1000),78,IF(AND(L310="Mittellos und stationär",D311&gt;4,D311&lt;=8),107,IF(AND(L310="Mittellos und stationär",D311&gt;2,D311&lt;=4),154,IF(AND(L310="Mittellos und stationär",D311&gt;1,D311&lt;=2),158,IF(AND(L310="Mittellos und stationär",D311&gt;0,D311&lt;=1),241,""))))))))))))))))))))),IF(M309="Stufe C",IF(AND(L310="Auswahl treffen",D311&gt;=0,D311&lt;=1000),J309,IF(AND(L310="Vermögend und ambulant",D311&gt;8,D311&lt;=1000),211,IF(AND(L310="Vermögend und ambulant",D311&gt;4,D311&lt;=8),257,IF(AND(L310="Vermögend und ambulant",D311&gt;2,D311&lt;=4),312,IF(AND(L310="Vermögend und ambulant",D311&gt;1,D311&lt;=2),339,IF(AND(L310="Vermögend und ambulant",D311&gt;0,D311&lt;=1),486,IF(AND(L310="Vermögend und stationär",D311&gt;8,D311&lt;=1000),127,IF(AND(L310="Vermögend und stationär",D311&gt;4,D311&lt;=8),149,IF(AND(L310="Vermögend und stationär",D311&gt;2,D311&lt;=4),229,IF(AND(L310="Vermögend und stationär",D311&gt;1,D311&lt;=2),257,IF(AND(L310="Vermögend und stationär",D311&gt;0,D311&lt;=1),327,IF(AND(L310="Mittellos und ambulant",D311&gt;8,D311&lt;=1000),171,IF(AND(L310="Mittellos und ambulant",D311&gt;4,D311&lt;=8),198,IF(AND(L310="Mittellos und ambulant",D311&gt;2,D311&lt;=4),246,IF(AND(L310="Mittellos und ambulant",D311&gt;1,D311&lt;=2),277,IF(AND(L310="Mittellos und ambulant",D311&gt;0,D311&lt;=1),339,IF(AND(L310="Mittellos und stationär",D311&gt;8,D311&lt;=1000),102,IF(AND(L310="Mittellos und stationär",D311&gt;4,D311&lt;=8),141,IF(AND(L310="Mittellos und stationär",D311&gt;2,D311&lt;=4),202,IF(AND(L310="Mittellos und stationär",D311&gt;1,D311&lt;=2),208,IF(AND(L310="Mittellos und stationär",D311&gt;0,D311&lt;=1),317,""))))))))))))))))))))),"")))*3+(J309*90)</f>
        <v>#NUM!</v>
      </c>
      <c r="M312" s="507" t="str">
        <f>CONCATENATE(K312, K311)</f>
        <v>+Inflat.-P</v>
      </c>
      <c r="N312" s="206" t="s">
        <v>118</v>
      </c>
      <c r="O312" s="207"/>
      <c r="P312" s="207"/>
      <c r="Q312" s="208"/>
      <c r="R312" s="187"/>
      <c r="S312" s="209" t="s">
        <v>118</v>
      </c>
      <c r="T312" s="201" t="s">
        <v>117</v>
      </c>
      <c r="U312" s="210" t="s">
        <v>26</v>
      </c>
      <c r="V312" s="192"/>
      <c r="W312" s="203"/>
      <c r="X312" s="203"/>
      <c r="Y312" s="210"/>
      <c r="Z312" s="192"/>
      <c r="AA312" s="203"/>
      <c r="AB312" s="203"/>
      <c r="AC312" s="210"/>
      <c r="AD312" s="192"/>
      <c r="AE312" s="203"/>
      <c r="AF312" s="203"/>
      <c r="AG312" s="210"/>
      <c r="AH312" s="193"/>
      <c r="AI312" s="203"/>
      <c r="AJ312" s="203"/>
      <c r="AK312" s="376"/>
      <c r="AL312" s="348" t="s">
        <v>148</v>
      </c>
      <c r="AM312" s="354">
        <f>IF(SUM(N310:N318)=SUM(S310:S318), 0, SUM(N310:N318)-SUM(S310:S318))</f>
        <v>0</v>
      </c>
      <c r="AN312" s="354"/>
      <c r="AO312" s="354"/>
      <c r="AP312" s="354"/>
      <c r="AQ312" s="350">
        <f>AM312+AN312+AO312+AP312</f>
        <v>0</v>
      </c>
      <c r="AR312" s="769"/>
      <c r="AS312" s="769"/>
      <c r="AT312" s="769"/>
      <c r="AW312"/>
      <c r="AX312"/>
      <c r="AY312" s="280"/>
      <c r="AZ312"/>
      <c r="BA312"/>
      <c r="BB312"/>
      <c r="BC312"/>
      <c r="BD312"/>
      <c r="BE312"/>
      <c r="BF312"/>
      <c r="BG312" s="280"/>
      <c r="BH312"/>
      <c r="BI312"/>
      <c r="BJ312"/>
      <c r="BK312"/>
      <c r="BL312"/>
      <c r="BM312"/>
      <c r="BN312"/>
      <c r="BO312"/>
    </row>
    <row r="313" spans="1:67" ht="22.25" customHeight="1">
      <c r="A313" s="181">
        <f t="shared" si="101"/>
        <v>45292</v>
      </c>
      <c r="B313" s="484" t="e">
        <f>MONTH(I310)</f>
        <v>#NUM!</v>
      </c>
      <c r="C313" s="489" t="s">
        <v>158</v>
      </c>
      <c r="D313" s="522" t="e">
        <f>D311+1</f>
        <v>#NUM!</v>
      </c>
      <c r="E313" s="211" t="e">
        <f>DATE(YEAR(E312),MONTH(E312),DAY(E312)+1)</f>
        <v>#NUM!</v>
      </c>
      <c r="F313" s="212" t="e">
        <f t="shared" si="115"/>
        <v>#NUM!</v>
      </c>
      <c r="G313" s="213" t="e">
        <f t="shared" si="116"/>
        <v>#NUM!</v>
      </c>
      <c r="H313" s="212" t="e">
        <f t="shared" si="117"/>
        <v>#NUM!</v>
      </c>
      <c r="I313" s="214" t="str">
        <f>IF(D310&lt;&gt;0,"-1T","")</f>
        <v/>
      </c>
      <c r="J313" s="215" t="e">
        <f>DATE($B315,I314,$B311)</f>
        <v>#NUM!</v>
      </c>
      <c r="K313" s="501" t="str">
        <f t="shared" si="102"/>
        <v/>
      </c>
      <c r="L313" s="470"/>
      <c r="M313" s="473" t="e">
        <f ca="1">SUM(J310-E314)&amp;" Tage"</f>
        <v>#NUM!</v>
      </c>
      <c r="N313" s="216"/>
      <c r="O313" s="217"/>
      <c r="P313" s="188"/>
      <c r="Q313" s="217"/>
      <c r="R313" s="189"/>
      <c r="S313" s="190"/>
      <c r="T313" s="190"/>
      <c r="U313" s="191"/>
      <c r="V313" s="192"/>
      <c r="W313" s="190"/>
      <c r="X313" s="190"/>
      <c r="Y313" s="191"/>
      <c r="Z313" s="192"/>
      <c r="AA313" s="190"/>
      <c r="AB313" s="190"/>
      <c r="AC313" s="191"/>
      <c r="AD313" s="192"/>
      <c r="AE313" s="190"/>
      <c r="AF313" s="190"/>
      <c r="AG313" s="191"/>
      <c r="AH313" s="193"/>
      <c r="AI313" s="190"/>
      <c r="AJ313" s="190"/>
      <c r="AK313" s="374"/>
      <c r="AL313" s="348"/>
      <c r="AM313" s="354"/>
      <c r="AN313" s="354"/>
      <c r="AO313" s="354"/>
      <c r="AP313" s="354"/>
      <c r="AQ313" s="350"/>
      <c r="AR313" s="769"/>
      <c r="AS313" s="769"/>
      <c r="AT313" s="769"/>
      <c r="AW313"/>
      <c r="AX313"/>
      <c r="AY313" s="280"/>
      <c r="AZ313"/>
      <c r="BA313"/>
      <c r="BB313"/>
      <c r="BC313"/>
      <c r="BD313"/>
      <c r="BE313"/>
      <c r="BF313"/>
      <c r="BG313" s="280"/>
      <c r="BH313"/>
      <c r="BI313"/>
      <c r="BJ313"/>
      <c r="BK313"/>
      <c r="BL313"/>
      <c r="BM313"/>
      <c r="BN313"/>
      <c r="BO313"/>
    </row>
    <row r="314" spans="1:67" ht="22.25" customHeight="1">
      <c r="A314" s="181">
        <f t="shared" si="101"/>
        <v>45292</v>
      </c>
      <c r="B314" s="485"/>
      <c r="C314" s="490"/>
      <c r="D314" s="521"/>
      <c r="E314" s="218" t="e">
        <f>DATE(YEAR(E313),MONTH(E313)+3,DAY(E313)-1)</f>
        <v>#NUM!</v>
      </c>
      <c r="F314" s="212" t="e">
        <f t="shared" si="115"/>
        <v>#NUM!</v>
      </c>
      <c r="G314" s="213" t="e">
        <f t="shared" si="116"/>
        <v>#NUM!</v>
      </c>
      <c r="H314" s="212" t="e">
        <f t="shared" si="117"/>
        <v>#NUM!</v>
      </c>
      <c r="I314" s="219">
        <f>MAX(I315:I318)</f>
        <v>9</v>
      </c>
      <c r="J314" s="220" t="e">
        <f>DATE(YEAR(J313)+1,MONTH(J313),DAY(J313))</f>
        <v>#NUM!</v>
      </c>
      <c r="K314" s="506" t="str">
        <f t="shared" si="102"/>
        <v>+Inflat.-P</v>
      </c>
      <c r="L314" s="508" t="e">
        <f>IF(M309="Stufe A",IF(AND(L310="Auswahl treffen",D313&gt;=0,D313&lt;=1000),J309,IF(AND(L310="Vermögend und ambulant",D313&gt;8,D313&lt;=1000),130,IF(AND(L310="Vermögend und ambulant",D313&gt;4,D313&lt;=8),158,IF(AND(L310="Vermögend und ambulant",D313&gt;2,D313&lt;=4),192,IF(AND(L310="Vermögend und ambulant",D313&gt;1,D313&lt;=2),208,IF(AND(L310="Vermögend und ambulant",D313&gt;0,D313&lt;=1),298,IF(AND(L310="Vermögend und stationär",D313&gt;8,D313&lt;=1000),78,IF(AND(L310="Vermögend und stationär",D313&gt;4,D313&lt;=8),91,IF(AND(L310="Vermögend und stationär",D313&gt;2,D313&lt;=4),140,IF(AND(L310="Vermögend und stationär",D313&gt;1,D313&lt;=2),158,IF(AND(L310="Vermögend und stationär",D313&gt;0,D313&lt;=1),200,IF(AND(L310="Mittellos und ambulant",D313&gt;8,D313&lt;=1000),105,IF(AND(L310="Mittellos und ambulant",D313&gt;4,D313&lt;=8),122,IF(AND(L310="Mittellos und ambulant",D313&gt;2,D313&lt;=4),151,IF(AND(L310="Mittellos und ambulant",D313&gt;1,D313&lt;=2),170,IF(AND(L310="Mittellos und ambulant",D313&gt;0,D313&lt;=1),208,IF(AND(L310="Mittellos und stationär",D313&gt;8,D313&lt;=1000),62,IF(AND(L310="Mittellos und stationär",D313&gt;4,D313&lt;=8),87,IF(AND(L310="Mittellos und stationär",D313&gt;2,D313&lt;=4),124,IF(AND(L310="Mittellos und stationär",D313&gt;1,D313&lt;=2),129,IF(AND(L310="Mittellos und stationär",D313&gt;0,D313&lt;=1),194,""))))))))))))))))))))),IF(M309="Stufe B",IF(AND(L310="Auswahl treffen",D313&gt;=0,D313&lt;=1000),J309,IF(AND(L310="Vermögend und ambulant",D313&gt;8,D313&lt;=1000),161,IF(AND(L310="Vermögend und ambulant",D313&gt;4,D313&lt;=8),196,IF(AND(L310="Vermögend und ambulant",D313&gt;2,D313&lt;=4),238,IF(AND(L310="Vermögend und ambulant",D313&gt;1,D313&lt;=2),258,IF(AND(L310="Vermögend und ambulant",D313&gt;0,D313&lt;=1),370,IF(AND(L310="Vermögend und stationär",D313&gt;8,D313&lt;=1000),96,IF(AND(L310="Vermögend und stationär",D313&gt;4,D313&lt;=8),113,IF(AND(L310="Vermögend und stationär",D313&gt;2,D313&lt;=4),174,IF(AND(L310="Vermögend und stationär",D313&gt;1,D313&lt;=2),196,IF(AND(L310="Vermögend und stationär",D313&gt;0,D313&lt;=1),249,IF(AND(L310="Mittellos und ambulant",D313&gt;8,D313&lt;=1000),130,IF(AND(L310="Mittellos und ambulant",D313&gt;4,D313&lt;=8),151,IF(AND(L310="Mittellos und ambulant",D313&gt;2,D313&lt;=4),188,IF(AND(L310="Mittellos und ambulant",D313&gt;1,D313&lt;=2),211,IF(AND(L310="Mittellos und ambulant",D313&gt;0,D313&lt;=1),258,IF(AND(L310="Mittellos und stationär",D313&gt;8,D313&lt;=1000),78,IF(AND(L310="Mittellos und stationär",D313&gt;4,D313&lt;=8),107,IF(AND(L310="Mittellos und stationär",D313&gt;2,D313&lt;=4),154,IF(AND(L310="Mittellos und stationär",D313&gt;1,D313&lt;=2),158,IF(AND(L310="Mittellos und stationär",D313&gt;0,D313&lt;=1),241,""))))))))))))))))))))),IF(M309="Stufe C",IF(AND(L310="Auswahl treffen",D313&gt;=0,D313&lt;=1000),J309,IF(AND(L310="Vermögend und ambulant",D313&gt;8,D313&lt;=1000),211,IF(AND(L310="Vermögend und ambulant",D313&gt;4,D313&lt;=8),257,IF(AND(L310="Vermögend und ambulant",D313&gt;2,D313&lt;=4),312,IF(AND(L310="Vermögend und ambulant",D313&gt;1,D313&lt;=2),339,IF(AND(L310="Vermögend und ambulant",D313&gt;0,D313&lt;=1),486,IF(AND(L310="Vermögend und stationär",D313&gt;8,D313&lt;=1000),127,IF(AND(L310="Vermögend und stationär",D313&gt;4,D313&lt;=8),149,IF(AND(L310="Vermögend und stationär",D313&gt;2,D313&lt;=4),229,IF(AND(L310="Vermögend und stationär",D313&gt;1,D313&lt;=2),257,IF(AND(L310="Vermögend und stationär",D313&gt;0,D313&lt;=1),327,IF(AND(L310="Mittellos und ambulant",D313&gt;8,D313&lt;=1000),171,IF(AND(L310="Mittellos und ambulant",D313&gt;4,D313&lt;=8),198,IF(AND(L310="Mittellos und ambulant",D313&gt;2,D313&lt;=4),246,IF(AND(L310="Mittellos und ambulant",D313&gt;1,D313&lt;=2),277,IF(AND(L310="Mittellos und ambulant",D313&gt;0,D313&lt;=1),339,IF(AND(L310="Mittellos und stationär",D313&gt;8,D313&lt;=1000),102,IF(AND(L310="Mittellos und stationär",D313&gt;4,D313&lt;=8),141,IF(AND(L310="Mittellos und stationär",D313&gt;2,D313&lt;=4),202,IF(AND(L310="Mittellos und stationär",D313&gt;1,D313&lt;=2),208,IF(AND(L310="Mittellos und stationär",D313&gt;0,D313&lt;=1),317,""))))))))))))))))))))),"")))*3+(J309*90)</f>
        <v>#NUM!</v>
      </c>
      <c r="M314" s="507" t="str">
        <f>CONCATENATE(K314, K313)</f>
        <v>+Inflat.-P</v>
      </c>
      <c r="N314" s="216"/>
      <c r="O314" s="188" t="s">
        <v>118</v>
      </c>
      <c r="P314" s="188"/>
      <c r="Q314" s="221"/>
      <c r="R314" s="199"/>
      <c r="S314" s="190"/>
      <c r="T314" s="190"/>
      <c r="U314" s="191"/>
      <c r="V314" s="192"/>
      <c r="W314" s="222" t="s">
        <v>118</v>
      </c>
      <c r="X314" s="222" t="s">
        <v>117</v>
      </c>
      <c r="Y314" s="191" t="s">
        <v>26</v>
      </c>
      <c r="Z314" s="192"/>
      <c r="AA314" s="190"/>
      <c r="AB314" s="190"/>
      <c r="AC314" s="191"/>
      <c r="AD314" s="192"/>
      <c r="AE314" s="190"/>
      <c r="AF314" s="190"/>
      <c r="AG314" s="191"/>
      <c r="AH314" s="193"/>
      <c r="AI314" s="190"/>
      <c r="AJ314" s="190"/>
      <c r="AK314" s="374"/>
      <c r="AL314" s="348" t="s">
        <v>149</v>
      </c>
      <c r="AM314" s="354"/>
      <c r="AN314" s="354">
        <f>IF(SUM(O310:O318)=SUM(W310:W318), 0, SUM(O310:O318)-SUM(W310:W318))</f>
        <v>0</v>
      </c>
      <c r="AO314" s="354"/>
      <c r="AP314" s="354"/>
      <c r="AQ314" s="350">
        <f>AM314+AN314+AO314+AP314</f>
        <v>0</v>
      </c>
      <c r="AR314" s="769"/>
      <c r="AS314" s="769"/>
      <c r="AT314" s="769"/>
      <c r="AW314"/>
      <c r="AX314"/>
      <c r="AY314" s="280"/>
      <c r="AZ314"/>
      <c r="BA314"/>
      <c r="BB314"/>
      <c r="BC314"/>
      <c r="BD314"/>
      <c r="BE314"/>
      <c r="BF314"/>
      <c r="BG314" s="280"/>
      <c r="BH314"/>
      <c r="BI314"/>
      <c r="BJ314"/>
      <c r="BK314"/>
      <c r="BL314"/>
      <c r="BM314"/>
      <c r="BN314"/>
      <c r="BO314"/>
    </row>
    <row r="315" spans="1:67" ht="22.25" customHeight="1">
      <c r="A315" s="181">
        <f t="shared" si="101"/>
        <v>45292</v>
      </c>
      <c r="B315" s="484">
        <f>YEAR($A316)-1</f>
        <v>2023</v>
      </c>
      <c r="C315" s="489" t="s">
        <v>158</v>
      </c>
      <c r="D315" s="520" t="e">
        <f>D313+1</f>
        <v>#NUM!</v>
      </c>
      <c r="E315" s="194" t="e">
        <f>DATE(YEAR(E314),MONTH(E314),DAY(E314)+1)</f>
        <v>#NUM!</v>
      </c>
      <c r="F315" s="195" t="e">
        <f t="shared" si="115"/>
        <v>#NUM!</v>
      </c>
      <c r="G315" s="196" t="e">
        <f t="shared" si="116"/>
        <v>#NUM!</v>
      </c>
      <c r="H315" s="195" t="e">
        <f t="shared" si="117"/>
        <v>#NUM!</v>
      </c>
      <c r="I315" s="197">
        <f>IF(J317&lt;13,J317,"")</f>
        <v>9</v>
      </c>
      <c r="J315" s="224">
        <f>G310</f>
        <v>0</v>
      </c>
      <c r="K315" s="501" t="str">
        <f t="shared" si="102"/>
        <v/>
      </c>
      <c r="L315" s="471"/>
      <c r="M315" s="473" t="e">
        <f ca="1">SUM(J310-E316)&amp;" Tage"</f>
        <v>#NUM!</v>
      </c>
      <c r="N315" s="200"/>
      <c r="O315" s="201"/>
      <c r="P315" s="201"/>
      <c r="Q315" s="202"/>
      <c r="R315" s="189"/>
      <c r="S315" s="203"/>
      <c r="T315" s="203"/>
      <c r="U315" s="204"/>
      <c r="V315" s="192"/>
      <c r="W315" s="203"/>
      <c r="X315" s="203"/>
      <c r="Y315" s="204"/>
      <c r="Z315" s="192"/>
      <c r="AA315" s="203"/>
      <c r="AB315" s="203"/>
      <c r="AC315" s="204"/>
      <c r="AD315" s="192"/>
      <c r="AE315" s="203"/>
      <c r="AF315" s="203"/>
      <c r="AG315" s="204"/>
      <c r="AH315" s="193"/>
      <c r="AI315" s="203"/>
      <c r="AJ315" s="203"/>
      <c r="AK315" s="375"/>
      <c r="AL315" s="348"/>
      <c r="AM315" s="354"/>
      <c r="AN315" s="354"/>
      <c r="AO315" s="354"/>
      <c r="AP315" s="354"/>
      <c r="AQ315" s="350"/>
      <c r="AR315" s="769"/>
      <c r="AS315" s="769"/>
      <c r="AT315" s="769"/>
      <c r="AW315"/>
      <c r="AX315"/>
      <c r="AY315" s="280"/>
      <c r="AZ315"/>
      <c r="BA315"/>
      <c r="BB315"/>
      <c r="BC315"/>
      <c r="BD315"/>
      <c r="BE315"/>
      <c r="BF315"/>
      <c r="BG315" s="280"/>
      <c r="BH315"/>
      <c r="BI315"/>
      <c r="BJ315"/>
      <c r="BK315"/>
      <c r="BL315"/>
      <c r="BM315"/>
      <c r="BN315"/>
      <c r="BO315"/>
    </row>
    <row r="316" spans="1:67" ht="22.25" customHeight="1">
      <c r="A316" s="181">
        <f t="shared" si="101"/>
        <v>45292</v>
      </c>
      <c r="B316" s="485"/>
      <c r="C316" s="490"/>
      <c r="D316" s="521"/>
      <c r="E316" s="194" t="e">
        <f>DATE(YEAR(E315),MONTH(E315)+3,DAY(E315)-1)</f>
        <v>#NUM!</v>
      </c>
      <c r="F316" s="195" t="e">
        <f t="shared" si="115"/>
        <v>#NUM!</v>
      </c>
      <c r="G316" s="196" t="e">
        <f t="shared" si="116"/>
        <v>#NUM!</v>
      </c>
      <c r="H316" s="195" t="e">
        <f t="shared" si="117"/>
        <v>#NUM!</v>
      </c>
      <c r="I316" s="244">
        <f>IF(J318&lt;13,J318,"")</f>
        <v>6</v>
      </c>
      <c r="J316" s="224">
        <f>J315+3</f>
        <v>3</v>
      </c>
      <c r="K316" s="506" t="str">
        <f t="shared" si="102"/>
        <v>+Inflat.-P</v>
      </c>
      <c r="L316" s="511" t="e">
        <f>IF(M309="Stufe A",IF(AND(L310="Auswahl treffen",D315&gt;=0,D315&lt;=1000),J309,IF(AND(L310="Vermögend und ambulant",D315&gt;8,D315&lt;=1000),130,IF(AND(L310="Vermögend und ambulant",D315&gt;4,D315&lt;=8),158,IF(AND(L310="Vermögend und ambulant",D315&gt;2,D315&lt;=4),192,IF(AND(L310="Vermögend und ambulant",D315&gt;1,D315&lt;=2),208,IF(AND(L310="Vermögend und ambulant",D315&gt;0,D315&lt;=1),298,IF(AND(L310="Vermögend und stationär",D315&gt;8,D315&lt;=1000),78,IF(AND(L310="Vermögend und stationär",D315&gt;4,D315&lt;=8),91,IF(AND(L310="Vermögend und stationär",D315&gt;2,D315&lt;=4),140,IF(AND(L310="Vermögend und stationär",D315&gt;1,D315&lt;=2),158,IF(AND(L310="Vermögend und stationär",D315&gt;0,D315&lt;=1),200,IF(AND(L310="Mittellos und ambulant",D315&gt;8,D315&lt;=1000),105,IF(AND(L310="Mittellos und ambulant",D315&gt;4,D315&lt;=8),122,IF(AND(L310="Mittellos und ambulant",D315&gt;2,D315&lt;=4),151,IF(AND(L310="Mittellos und ambulant",D315&gt;1,D315&lt;=2),170,IF(AND(L310="Mittellos und ambulant",D315&gt;0,D315&lt;=1),208,IF(AND(L310="Mittellos und stationär",D315&gt;8,D315&lt;=1000),62,IF(AND(L310="Mittellos und stationär",D315&gt;4,D315&lt;=8),87,IF(AND(L310="Mittellos und stationär",D315&gt;2,D315&lt;=4),124,IF(AND(L310="Mittellos und stationär",D315&gt;1,D315&lt;=2),129,IF(AND(L310="Mittellos und stationär",D315&gt;0,D315&lt;=1),194,""))))))))))))))))))))),IF(M309="Stufe B",IF(AND(L310="Auswahl treffen",D315&gt;=0,D315&lt;=1000),J309,IF(AND(L310="Vermögend und ambulant",D315&gt;8,D315&lt;=1000),161,IF(AND(L310="Vermögend und ambulant",D315&gt;4,D315&lt;=8),196,IF(AND(L310="Vermögend und ambulant",D315&gt;2,D315&lt;=4),238,IF(AND(L310="Vermögend und ambulant",D315&gt;1,D315&lt;=2),258,IF(AND(L310="Vermögend und ambulant",D315&gt;0,D315&lt;=1),370,IF(AND(L310="Vermögend und stationär",D315&gt;8,D315&lt;=1000),96,IF(AND(L310="Vermögend und stationär",D315&gt;4,D315&lt;=8),113,IF(AND(L310="Vermögend und stationär",D315&gt;2,D315&lt;=4),174,IF(AND(L310="Vermögend und stationär",D315&gt;1,D315&lt;=2),196,IF(AND(L310="Vermögend und stationär",D315&gt;0,D315&lt;=1),249,IF(AND(L310="Mittellos und ambulant",D315&gt;8,D315&lt;=1000),130,IF(AND(L310="Mittellos und ambulant",D315&gt;4,D315&lt;=8),151,IF(AND(L310="Mittellos und ambulant",D315&gt;2,D315&lt;=4),188,IF(AND(L310="Mittellos und ambulant",D315&gt;1,D315&lt;=2),211,IF(AND(L310="Mittellos und ambulant",D315&gt;0,D315&lt;=1),258,IF(AND(L310="Mittellos und stationär",D315&gt;8,D315&lt;=1000),78,IF(AND(L310="Mittellos und stationär",D315&gt;4,D315&lt;=8),107,IF(AND(L310="Mittellos und stationär",D315&gt;2,D315&lt;=4),154,IF(AND(L310="Mittellos und stationär",D315&gt;1,D315&lt;=2),158,IF(AND(L310="Mittellos und stationär",D315&gt;0,D315&lt;=1),241,""))))))))))))))))))))),IF(M309="Stufe C",IF(AND(L310="Auswahl treffen",D315&gt;=0,D315&lt;=1000),J309,IF(AND(L310="Vermögend und ambulant",D315&gt;8,D315&lt;=1000),211,IF(AND(L310="Vermögend und ambulant",D315&gt;4,D315&lt;=8),257,IF(AND(L310="Vermögend und ambulant",D315&gt;2,D315&lt;=4),312,IF(AND(L310="Vermögend und ambulant",D315&gt;1,D315&lt;=2),339,IF(AND(L310="Vermögend und ambulant",D315&gt;0,D315&lt;=1),486,IF(AND(L310="Vermögend und stationär",D315&gt;8,D315&lt;=1000),127,IF(AND(L310="Vermögend und stationär",D315&gt;4,D315&lt;=8),149,IF(AND(L310="Vermögend und stationär",D315&gt;2,D315&lt;=4),229,IF(AND(L310="Vermögend und stationär",D315&gt;1,D315&lt;=2),257,IF(AND(L310="Vermögend und stationär",D315&gt;0,D315&lt;=1),327,IF(AND(L310="Mittellos und ambulant",D315&gt;8,D315&lt;=1000),171,IF(AND(L310="Mittellos und ambulant",D315&gt;4,D315&lt;=8),198,IF(AND(L310="Mittellos und ambulant",D315&gt;2,D315&lt;=4),246,IF(AND(L310="Mittellos und ambulant",D315&gt;1,D315&lt;=2),277,IF(AND(L310="Mittellos und ambulant",D315&gt;0,D315&lt;=1),339,IF(AND(L310="Mittellos und stationär",D315&gt;8,D315&lt;=1000),102,IF(AND(L310="Mittellos und stationär",D315&gt;4,D315&lt;=8),141,IF(AND(L310="Mittellos und stationär",D315&gt;2,D315&lt;=4),202,IF(AND(L310="Mittellos und stationär",D315&gt;1,D315&lt;=2),208,IF(AND(L310="Mittellos und stationär",D315&gt;0,D315&lt;=1),317,""))))))))))))))))))))),"")))*3+(J309*90)</f>
        <v>#NUM!</v>
      </c>
      <c r="M316" s="507" t="str">
        <f>CONCATENATE(K316, K315)</f>
        <v>+Inflat.-P</v>
      </c>
      <c r="N316" s="206"/>
      <c r="O316" s="207"/>
      <c r="P316" s="206" t="s">
        <v>118</v>
      </c>
      <c r="Q316" s="226"/>
      <c r="R316" s="189"/>
      <c r="S316" s="203"/>
      <c r="T316" s="203"/>
      <c r="U316" s="204"/>
      <c r="V316" s="192"/>
      <c r="W316" s="203"/>
      <c r="X316" s="203"/>
      <c r="Y316" s="204"/>
      <c r="Z316" s="192"/>
      <c r="AA316" s="209" t="s">
        <v>118</v>
      </c>
      <c r="AB316" s="209" t="s">
        <v>117</v>
      </c>
      <c r="AC316" s="204" t="s">
        <v>26</v>
      </c>
      <c r="AD316" s="192"/>
      <c r="AE316" s="203"/>
      <c r="AF316" s="203"/>
      <c r="AG316" s="204"/>
      <c r="AH316" s="193"/>
      <c r="AI316" s="203"/>
      <c r="AJ316" s="203"/>
      <c r="AK316" s="375"/>
      <c r="AL316" s="348" t="s">
        <v>150</v>
      </c>
      <c r="AM316" s="354"/>
      <c r="AN316" s="354"/>
      <c r="AO316" s="354">
        <f>IF(SUM(P310:P318)=SUM(AA310:AA318), 0, SUM(P310:P318)-SUM(AA310:AA318))</f>
        <v>0</v>
      </c>
      <c r="AP316" s="354"/>
      <c r="AQ316" s="350">
        <f>AM316+AN316+AO316+AP316</f>
        <v>0</v>
      </c>
      <c r="AR316" s="769"/>
      <c r="AS316" s="769"/>
      <c r="AT316" s="769"/>
      <c r="AW316"/>
      <c r="AX316"/>
      <c r="AY316" s="280"/>
      <c r="AZ316"/>
      <c r="BA316"/>
      <c r="BB316"/>
      <c r="BC316"/>
      <c r="BD316"/>
      <c r="BE316"/>
      <c r="BF316"/>
      <c r="BG316" s="280"/>
      <c r="BH316"/>
      <c r="BI316"/>
      <c r="BJ316"/>
      <c r="BK316"/>
      <c r="BL316"/>
      <c r="BM316"/>
      <c r="BN316"/>
      <c r="BO316"/>
    </row>
    <row r="317" spans="1:67" ht="22.25" customHeight="1">
      <c r="A317" s="181">
        <f t="shared" si="101"/>
        <v>45292</v>
      </c>
      <c r="B317" s="486"/>
      <c r="C317" s="489" t="s">
        <v>158</v>
      </c>
      <c r="D317" s="522" t="e">
        <f>D315+1</f>
        <v>#NUM!</v>
      </c>
      <c r="E317" s="211" t="e">
        <f>DATE(YEAR(E316),MONTH(E316),DAY(E316)+1)</f>
        <v>#NUM!</v>
      </c>
      <c r="F317" s="227" t="e">
        <f t="shared" si="115"/>
        <v>#NUM!</v>
      </c>
      <c r="G317" s="228" t="e">
        <f t="shared" si="116"/>
        <v>#NUM!</v>
      </c>
      <c r="H317" s="227" t="e">
        <f t="shared" si="117"/>
        <v>#NUM!</v>
      </c>
      <c r="I317" s="231">
        <f>IF(J316&lt;13,J316,"")</f>
        <v>3</v>
      </c>
      <c r="J317" s="230">
        <f>J318+3</f>
        <v>9</v>
      </c>
      <c r="K317" s="501" t="str">
        <f t="shared" si="102"/>
        <v/>
      </c>
      <c r="L317" s="471"/>
      <c r="M317" s="473" t="e">
        <f ca="1">SUM(J310-E318)&amp;" Tage"</f>
        <v>#NUM!</v>
      </c>
      <c r="N317" s="216"/>
      <c r="O317" s="188"/>
      <c r="P317" s="188"/>
      <c r="Q317" s="217"/>
      <c r="R317" s="189"/>
      <c r="S317" s="190"/>
      <c r="T317" s="190"/>
      <c r="U317" s="191"/>
      <c r="V317" s="192"/>
      <c r="W317" s="190"/>
      <c r="X317" s="190"/>
      <c r="Y317" s="191"/>
      <c r="Z317" s="192"/>
      <c r="AA317" s="190"/>
      <c r="AB317" s="190"/>
      <c r="AC317" s="191"/>
      <c r="AD317" s="192"/>
      <c r="AE317" s="190"/>
      <c r="AF317" s="190"/>
      <c r="AG317" s="191"/>
      <c r="AH317" s="193"/>
      <c r="AI317" s="190"/>
      <c r="AJ317" s="190"/>
      <c r="AK317" s="374"/>
      <c r="AL317" s="348"/>
      <c r="AM317" s="354"/>
      <c r="AN317" s="354"/>
      <c r="AO317" s="354"/>
      <c r="AP317" s="354"/>
      <c r="AQ317" s="350"/>
      <c r="AR317" s="769"/>
      <c r="AS317" s="769"/>
      <c r="AT317" s="769"/>
      <c r="AW317"/>
      <c r="AX317"/>
      <c r="AY317" s="280"/>
      <c r="AZ317"/>
      <c r="BA317"/>
      <c r="BB317"/>
      <c r="BC317"/>
      <c r="BD317"/>
      <c r="BE317"/>
      <c r="BF317"/>
      <c r="BG317" s="280"/>
      <c r="BH317"/>
      <c r="BI317"/>
      <c r="BJ317"/>
      <c r="BK317"/>
      <c r="BL317"/>
      <c r="BM317"/>
      <c r="BN317"/>
      <c r="BO317"/>
    </row>
    <row r="318" spans="1:67" ht="22.25" customHeight="1">
      <c r="A318" s="181">
        <f t="shared" si="101"/>
        <v>45292</v>
      </c>
      <c r="B318" s="485"/>
      <c r="C318" s="490"/>
      <c r="D318" s="521"/>
      <c r="E318" s="218" t="e">
        <f>DATE(YEAR(E317),MONTH(E317)+3,DAY(E317)-1)</f>
        <v>#NUM!</v>
      </c>
      <c r="F318" s="227" t="e">
        <f t="shared" si="115"/>
        <v>#NUM!</v>
      </c>
      <c r="G318" s="228" t="e">
        <f t="shared" si="116"/>
        <v>#NUM!</v>
      </c>
      <c r="H318" s="227" t="e">
        <f t="shared" si="117"/>
        <v>#NUM!</v>
      </c>
      <c r="I318" s="231">
        <f>IF(J315&lt;13,J315,"")</f>
        <v>0</v>
      </c>
      <c r="J318" s="230">
        <f>J316+3</f>
        <v>6</v>
      </c>
      <c r="K318" s="506" t="str">
        <f t="shared" si="102"/>
        <v>+Inflat.-P</v>
      </c>
      <c r="L318" s="508" t="e">
        <f>IF(M309="Stufe A",IF(AND(L310="Auswahl treffen",D317&gt;=0,D317&lt;=1000),J309,IF(AND(L310="Vermögend und ambulant",D317&gt;8,D317&lt;=1000),130,IF(AND(L310="Vermögend und ambulant",D317&gt;4,D317&lt;=8),158,IF(AND(L310="Vermögend und ambulant",D317&gt;2,D317&lt;=4),192,IF(AND(L310="Vermögend und ambulant",D317&gt;1,D317&lt;=2),208,IF(AND(L310="Vermögend und ambulant",D317&gt;0,D317&lt;=1),298,IF(AND(L310="Vermögend und stationär",D317&gt;8,D317&lt;=1000),78,IF(AND(L310="Vermögend und stationär",D317&gt;4,D317&lt;=8),91,IF(AND(L310="Vermögend und stationär",D317&gt;2,D317&lt;=4),140,IF(AND(L310="Vermögend und stationär",D317&gt;1,D317&lt;=2),158,IF(AND(L310="Vermögend und stationär",D317&gt;0,D317&lt;=1),200,IF(AND(L310="Mittellos und ambulant",D317&gt;8,D317&lt;=1000),105,IF(AND(L310="Mittellos und ambulant",D317&gt;4,D317&lt;=8),122,IF(AND(L310="Mittellos und ambulant",D317&gt;2,D317&lt;=4),151,IF(AND(L310="Mittellos und ambulant",D317&gt;1,D317&lt;=2),170,IF(AND(L310="Mittellos und ambulant",D317&gt;0,D317&lt;=1),208,IF(AND(L310="Mittellos und stationär",D317&gt;8,D317&lt;=1000),62,IF(AND(L310="Mittellos und stationär",D317&gt;4,D317&lt;=8),87,IF(AND(L310="Mittellos und stationär",D317&gt;2,D317&lt;=4),124,IF(AND(L310="Mittellos und stationär",D317&gt;1,D317&lt;=2),129,IF(AND(L310="Mittellos und stationär",D317&gt;0,D317&lt;=1),194,""))))))))))))))))))))),IF(M309="Stufe B",IF(AND(L310="Auswahl treffen",D317&gt;=0,D317&lt;=1000),J309,IF(AND(L310="Vermögend und ambulant",D317&gt;8,D317&lt;=1000),161,IF(AND(L310="Vermögend und ambulant",D317&gt;4,D317&lt;=8),196,IF(AND(L310="Vermögend und ambulant",D317&gt;2,D317&lt;=4),238,IF(AND(L310="Vermögend und ambulant",D317&gt;1,D317&lt;=2),258,IF(AND(L310="Vermögend und ambulant",D317&gt;0,D317&lt;=1),370,IF(AND(L310="Vermögend und stationär",D317&gt;8,D317&lt;=1000),96,IF(AND(L310="Vermögend und stationär",D317&gt;4,D317&lt;=8),113,IF(AND(L310="Vermögend und stationär",D317&gt;2,D317&lt;=4),174,IF(AND(L310="Vermögend und stationär",D317&gt;1,D317&lt;=2),196,IF(AND(L310="Vermögend und stationär",D317&gt;0,D317&lt;=1),249,IF(AND(L310="Mittellos und ambulant",D317&gt;8,D317&lt;=1000),130,IF(AND(L310="Mittellos und ambulant",D317&gt;4,D317&lt;=8),151,IF(AND(L310="Mittellos und ambulant",D317&gt;2,D317&lt;=4),188,IF(AND(L310="Mittellos und ambulant",D317&gt;1,D317&lt;=2),211,IF(AND(L310="Mittellos und ambulant",D317&gt;0,D317&lt;=1),258,IF(AND(L310="Mittellos und stationär",D317&gt;8,D317&lt;=1000),78,IF(AND(L310="Mittellos und stationär",D317&gt;4,D317&lt;=8),107,IF(AND(L310="Mittellos und stationär",D317&gt;2,D317&lt;=4),154,IF(AND(L310="Mittellos und stationär",D317&gt;1,D317&lt;=2),158,IF(AND(L310="Mittellos und stationär",D317&gt;0,D317&lt;=1),241,""))))))))))))))))))))),IF(M309="Stufe C",IF(AND(L310="Auswahl treffen",D317&gt;=0,D317&lt;=1000),J309,IF(AND(L310="Vermögend und ambulant",D317&gt;8,D317&lt;=1000),211,IF(AND(L310="Vermögend und ambulant",D317&gt;4,D317&lt;=8),257,IF(AND(L310="Vermögend und ambulant",D317&gt;2,D317&lt;=4),312,IF(AND(L310="Vermögend und ambulant",D317&gt;1,D317&lt;=2),339,IF(AND(L310="Vermögend und ambulant",D317&gt;0,D317&lt;=1),486,IF(AND(L310="Vermögend und stationär",D317&gt;8,D317&lt;=1000),127,IF(AND(L310="Vermögend und stationär",D317&gt;4,D317&lt;=8),149,IF(AND(L310="Vermögend und stationär",D317&gt;2,D317&lt;=4),229,IF(AND(L310="Vermögend und stationär",D317&gt;1,D317&lt;=2),257,IF(AND(L310="Vermögend und stationär",D317&gt;0,D317&lt;=1),327,IF(AND(L310="Mittellos und ambulant",D317&gt;8,D317&lt;=1000),171,IF(AND(L310="Mittellos und ambulant",D317&gt;4,D317&lt;=8),198,IF(AND(L310="Mittellos und ambulant",D317&gt;2,D317&lt;=4),246,IF(AND(L310="Mittellos und ambulant",D317&gt;1,D317&lt;=2),277,IF(AND(L310="Mittellos und ambulant",D317&gt;0,D317&lt;=1),339,IF(AND(L310="Mittellos und stationär",D317&gt;8,D317&lt;=1000),102,IF(AND(L310="Mittellos und stationär",D317&gt;4,D317&lt;=8),141,IF(AND(L310="Mittellos und stationär",D317&gt;2,D317&lt;=4),202,IF(AND(L310="Mittellos und stationär",D317&gt;1,D317&lt;=2),208,IF(AND(L310="Mittellos und stationär",D317&gt;0,D317&lt;=1),317,""))))))))))))))))))))),"")))*3+(J309*90)</f>
        <v>#NUM!</v>
      </c>
      <c r="M318" s="507" t="str">
        <f>CONCATENATE(K318, K317)</f>
        <v>+Inflat.-P</v>
      </c>
      <c r="N318" s="216"/>
      <c r="O318" s="188"/>
      <c r="P318" s="188"/>
      <c r="Q318" s="217" t="s">
        <v>118</v>
      </c>
      <c r="R318" s="189"/>
      <c r="S318" s="190"/>
      <c r="T318" s="190"/>
      <c r="U318" s="191"/>
      <c r="V318" s="192"/>
      <c r="W318" s="190"/>
      <c r="X318" s="190"/>
      <c r="Y318" s="191"/>
      <c r="Z318" s="192"/>
      <c r="AA318" s="190"/>
      <c r="AB318" s="190"/>
      <c r="AC318" s="191"/>
      <c r="AD318" s="192"/>
      <c r="AE318" s="190" t="s">
        <v>118</v>
      </c>
      <c r="AF318" s="190" t="s">
        <v>117</v>
      </c>
      <c r="AG318" s="191" t="s">
        <v>26</v>
      </c>
      <c r="AH318" s="193"/>
      <c r="AI318" s="190" t="s">
        <v>118</v>
      </c>
      <c r="AJ318" s="190" t="s">
        <v>117</v>
      </c>
      <c r="AK318" s="374" t="s">
        <v>26</v>
      </c>
      <c r="AL318" s="348" t="s">
        <v>151</v>
      </c>
      <c r="AM318" s="354"/>
      <c r="AN318" s="354"/>
      <c r="AO318" s="354"/>
      <c r="AP318" s="354">
        <f>IF(SUM(Q310:Q318)=SUM(AE310:AE318,AI310:AI318), 0, SUM(Q310:Q318)-SUM(AE310:AE318,AI310:AI318))</f>
        <v>0</v>
      </c>
      <c r="AQ318" s="350">
        <f>AM318+AN318+AO318+AP318</f>
        <v>0</v>
      </c>
      <c r="AR318" s="769"/>
      <c r="AS318" s="769"/>
      <c r="AT318" s="769"/>
      <c r="AW318"/>
      <c r="AX318"/>
      <c r="AY318" s="280"/>
      <c r="AZ318"/>
      <c r="BA318"/>
      <c r="BB318"/>
      <c r="BC318"/>
      <c r="BD318"/>
      <c r="BE318"/>
      <c r="BF318"/>
      <c r="BG318" s="280"/>
      <c r="BH318"/>
      <c r="BI318"/>
      <c r="BJ318"/>
      <c r="BK318"/>
      <c r="BL318"/>
      <c r="BM318"/>
      <c r="BN318"/>
      <c r="BO318"/>
    </row>
    <row r="319" spans="1:67" ht="22" customHeight="1">
      <c r="A319" s="181">
        <f t="shared" si="101"/>
        <v>45292</v>
      </c>
      <c r="B319" s="232" t="s">
        <v>74</v>
      </c>
      <c r="C319" s="233" t="s">
        <v>75</v>
      </c>
      <c r="D319" s="234" t="s">
        <v>76</v>
      </c>
      <c r="E319" s="235" t="s">
        <v>11</v>
      </c>
      <c r="F319" s="235" t="s">
        <v>4</v>
      </c>
      <c r="G319" s="235" t="s">
        <v>5</v>
      </c>
      <c r="H319" s="235" t="s">
        <v>6</v>
      </c>
      <c r="I319" s="236" t="s">
        <v>77</v>
      </c>
      <c r="J319" s="306"/>
      <c r="K319" s="501" t="str">
        <f t="shared" si="102"/>
        <v/>
      </c>
      <c r="L319" s="306" t="str">
        <f>IFERROR(VLOOKUP(B320,'Aktuelle Einnahmen'!A2:J104,10,0),"")</f>
        <v/>
      </c>
      <c r="M319" s="510" t="str">
        <f>M309</f>
        <v>Stufe C</v>
      </c>
      <c r="N319" s="237"/>
      <c r="O319" s="238"/>
      <c r="P319" s="238"/>
      <c r="Q319" s="239"/>
      <c r="R319" s="240"/>
      <c r="S319" s="241"/>
      <c r="T319" s="241"/>
      <c r="U319" s="242"/>
      <c r="V319" s="243"/>
      <c r="W319" s="241"/>
      <c r="X319" s="241"/>
      <c r="Y319" s="242"/>
      <c r="Z319" s="243"/>
      <c r="AA319" s="241"/>
      <c r="AB319" s="241"/>
      <c r="AC319" s="242"/>
      <c r="AD319" s="243"/>
      <c r="AE319" s="241"/>
      <c r="AF319" s="241"/>
      <c r="AG319" s="242"/>
      <c r="AH319" s="240"/>
      <c r="AI319" s="241"/>
      <c r="AJ319" s="241"/>
      <c r="AK319" s="377"/>
      <c r="AL319" s="347"/>
      <c r="AM319" s="353"/>
      <c r="AN319" s="353"/>
      <c r="AO319" s="353"/>
      <c r="AP319" s="353"/>
      <c r="AQ319" s="349"/>
      <c r="AR319" s="768"/>
      <c r="AS319" s="768"/>
      <c r="AT319" s="768"/>
      <c r="AW319"/>
      <c r="AX319"/>
      <c r="AY319" s="280"/>
      <c r="AZ319"/>
      <c r="BA319"/>
      <c r="BB319"/>
      <c r="BC319"/>
      <c r="BD319"/>
      <c r="BE319"/>
      <c r="BF319"/>
      <c r="BG319" s="280"/>
      <c r="BH319"/>
      <c r="BI319"/>
      <c r="BJ319"/>
      <c r="BK319"/>
      <c r="BL319"/>
      <c r="BM319"/>
      <c r="BN319"/>
      <c r="BO319"/>
    </row>
    <row r="320" spans="1:67" ht="23" customHeight="1">
      <c r="A320" s="181">
        <f t="shared" si="101"/>
        <v>45292</v>
      </c>
      <c r="B320" s="182">
        <v>32</v>
      </c>
      <c r="C320" s="245">
        <f>IFERROR(VLOOKUP($B320,'Aktuelle Einnahmen'!A2:G104,3,0),"")</f>
        <v>0</v>
      </c>
      <c r="D320" s="246">
        <f>IFERROR(VLOOKUP($B320,'Aktuelle Einnahmen'!A2:G104,2,0),"")</f>
        <v>0</v>
      </c>
      <c r="E320" s="247">
        <f>IFERROR(VLOOKUP($B320,'Aktuelle Einnahmen'!A2:G104,4,0),"")</f>
        <v>0</v>
      </c>
      <c r="F320" s="94">
        <f>IFERROR(VLOOKUP($B320,'Aktuelle Einnahmen'!A2:G104,5,0),"")</f>
        <v>0</v>
      </c>
      <c r="G320" s="94">
        <f>IFERROR(VLOOKUP($B320,'Aktuelle Einnahmen'!A2:G104,6,0),"")</f>
        <v>0</v>
      </c>
      <c r="H320" s="94">
        <f>IFERROR(VLOOKUP($B320,'Aktuelle Einnahmen'!A2:G104,7,0),"")</f>
        <v>0</v>
      </c>
      <c r="I320" s="186" t="e">
        <f>DATE(H320,G320,F320)</f>
        <v>#NUM!</v>
      </c>
      <c r="J320" s="472">
        <f ca="1">J310</f>
        <v>45475</v>
      </c>
      <c r="K320" s="501" t="str">
        <f t="shared" si="102"/>
        <v>+Inflat.-P</v>
      </c>
      <c r="L320" s="1262" t="str">
        <f>IFERROR(VLOOKUP(B320,'Aktuelle Einnahmen'!A12:I114,9,0),"")</f>
        <v>Auswahl treffen</v>
      </c>
      <c r="M320" s="1263"/>
      <c r="N320" s="261"/>
      <c r="O320" s="261"/>
      <c r="P320" s="261"/>
      <c r="Q320" s="261"/>
      <c r="R320" s="189"/>
      <c r="S320" s="190"/>
      <c r="T320" s="190"/>
      <c r="U320" s="191"/>
      <c r="V320" s="192"/>
      <c r="W320" s="190"/>
      <c r="X320" s="190"/>
      <c r="Y320" s="191"/>
      <c r="Z320" s="192"/>
      <c r="AA320" s="190"/>
      <c r="AB320" s="190"/>
      <c r="AC320" s="191"/>
      <c r="AD320" s="192"/>
      <c r="AE320" s="190"/>
      <c r="AF320" s="190"/>
      <c r="AG320" s="191"/>
      <c r="AH320" s="193"/>
      <c r="AI320" s="190"/>
      <c r="AJ320" s="190"/>
      <c r="AK320" s="374"/>
      <c r="AL320" s="348"/>
      <c r="AM320" s="354"/>
      <c r="AN320" s="354"/>
      <c r="AO320" s="354"/>
      <c r="AP320" s="354"/>
      <c r="AQ320" s="350"/>
      <c r="AR320" s="769"/>
      <c r="AS320" s="769"/>
      <c r="AT320" s="769"/>
      <c r="AW320"/>
      <c r="AX320"/>
      <c r="AY320" s="280"/>
      <c r="AZ320"/>
      <c r="BA320"/>
      <c r="BB320"/>
      <c r="BC320"/>
      <c r="BD320"/>
      <c r="BE320"/>
      <c r="BF320"/>
      <c r="BG320" s="280"/>
      <c r="BH320"/>
      <c r="BI320"/>
      <c r="BJ320"/>
      <c r="BK320"/>
      <c r="BL320"/>
      <c r="BM320"/>
      <c r="BN320"/>
      <c r="BO320"/>
    </row>
    <row r="321" spans="1:67" ht="22.25" customHeight="1">
      <c r="A321" s="181">
        <f t="shared" si="101"/>
        <v>45292</v>
      </c>
      <c r="B321" s="484" t="e">
        <f>DAY(I320)</f>
        <v>#NUM!</v>
      </c>
      <c r="C321" s="489" t="s">
        <v>158</v>
      </c>
      <c r="D321" s="520" t="e">
        <f>(I321*4)+J321/3+1</f>
        <v>#NUM!</v>
      </c>
      <c r="E321" s="194" t="e">
        <f>J323+1</f>
        <v>#NUM!</v>
      </c>
      <c r="F321" s="195" t="e">
        <f t="shared" ref="F321:F328" si="118">DAY(E321)</f>
        <v>#NUM!</v>
      </c>
      <c r="G321" s="196" t="e">
        <f t="shared" ref="G321:G328" si="119">MONTH(E321)</f>
        <v>#NUM!</v>
      </c>
      <c r="H321" s="195" t="e">
        <f t="shared" ref="H321:H328" si="120">YEAR(E321)</f>
        <v>#NUM!</v>
      </c>
      <c r="I321" s="197" t="e">
        <f>H321-(H320+2000)</f>
        <v>#NUM!</v>
      </c>
      <c r="J321" s="198" t="e">
        <f>G321-G320</f>
        <v>#NUM!</v>
      </c>
      <c r="K321" s="506" t="str">
        <f>L319</f>
        <v/>
      </c>
      <c r="L321" s="469"/>
      <c r="M321" s="473" t="e">
        <f ca="1">SUM(J320-E322)&amp;" Tage"</f>
        <v>#NUM!</v>
      </c>
      <c r="N321" s="206"/>
      <c r="O321" s="201"/>
      <c r="P321" s="201"/>
      <c r="Q321" s="202"/>
      <c r="R321" s="189"/>
      <c r="S321" s="203"/>
      <c r="T321" s="203"/>
      <c r="U321" s="204"/>
      <c r="V321" s="192"/>
      <c r="W321" s="203"/>
      <c r="X321" s="203"/>
      <c r="Y321" s="204"/>
      <c r="Z321" s="192"/>
      <c r="AA321" s="203"/>
      <c r="AB321" s="203"/>
      <c r="AC321" s="204"/>
      <c r="AD321" s="192"/>
      <c r="AE321" s="203"/>
      <c r="AF321" s="203"/>
      <c r="AG321" s="204"/>
      <c r="AH321" s="193"/>
      <c r="AI321" s="203"/>
      <c r="AJ321" s="203"/>
      <c r="AK321" s="375"/>
      <c r="AL321" s="348"/>
      <c r="AM321" s="354"/>
      <c r="AN321" s="354"/>
      <c r="AO321" s="354"/>
      <c r="AP321" s="354"/>
      <c r="AQ321" s="350"/>
      <c r="AR321" s="769"/>
      <c r="AS321" s="769"/>
      <c r="AT321" s="769"/>
      <c r="AW321"/>
      <c r="AX321"/>
      <c r="AY321" s="280"/>
      <c r="AZ321"/>
      <c r="BA321"/>
      <c r="BB321"/>
      <c r="BC321"/>
      <c r="BD321"/>
      <c r="BE321"/>
      <c r="BF321"/>
      <c r="BG321" s="280"/>
      <c r="BH321"/>
      <c r="BI321"/>
      <c r="BJ321"/>
      <c r="BK321"/>
      <c r="BL321"/>
      <c r="BM321"/>
      <c r="BN321"/>
      <c r="BO321"/>
    </row>
    <row r="322" spans="1:67" ht="22.25" customHeight="1">
      <c r="A322" s="181">
        <f t="shared" si="101"/>
        <v>45292</v>
      </c>
      <c r="B322" s="485"/>
      <c r="C322" s="490"/>
      <c r="D322" s="521"/>
      <c r="E322" s="194" t="e">
        <f>DATE(YEAR(E321),MONTH(E321)+3,DAY(E321)-1)</f>
        <v>#NUM!</v>
      </c>
      <c r="F322" s="195" t="e">
        <f t="shared" si="118"/>
        <v>#NUM!</v>
      </c>
      <c r="G322" s="196" t="e">
        <f t="shared" si="119"/>
        <v>#NUM!</v>
      </c>
      <c r="H322" s="195" t="e">
        <f t="shared" si="120"/>
        <v>#NUM!</v>
      </c>
      <c r="I322" s="244">
        <v>-1</v>
      </c>
      <c r="J322" s="198" t="e">
        <f>F321-F320</f>
        <v>#NUM!</v>
      </c>
      <c r="K322" s="501" t="str">
        <f t="shared" si="102"/>
        <v>+Inflat.-P</v>
      </c>
      <c r="L322" s="511" t="e">
        <f>IF(M319="Stufe A",IF(AND(L320="Auswahl treffen",D321&gt;=0,D321&lt;=1000),J319,IF(AND(L320="Vermögend und ambulant",D321&gt;8,D321&lt;=1000),130,IF(AND(L320="Vermögend und ambulant",D321&gt;4,D321&lt;=8),158,IF(AND(L320="Vermögend und ambulant",D321&gt;2,D321&lt;=4),192,IF(AND(L320="Vermögend und ambulant",D321&gt;1,D321&lt;=2),208,IF(AND(L320="Vermögend und ambulant",D321&gt;0,D321&lt;=1),298,IF(AND(L320="Vermögend und stationär",D321&gt;8,D321&lt;=1000),78,IF(AND(L320="Vermögend und stationär",D321&gt;4,D321&lt;=8),91,IF(AND(L320="Vermögend und stationär",D321&gt;2,D321&lt;=4),140,IF(AND(L320="Vermögend und stationär",D321&gt;1,D321&lt;=2),158,IF(AND(L320="Vermögend und stationär",D321&gt;0,D321&lt;=1),200,IF(AND(L320="Mittellos und ambulant",D321&gt;8,D321&lt;=1000),105,IF(AND(L320="Mittellos und ambulant",D321&gt;4,D321&lt;=8),122,IF(AND(L320="Mittellos und ambulant",D321&gt;2,D321&lt;=4),151,IF(AND(L320="Mittellos und ambulant",D321&gt;1,D321&lt;=2),170,IF(AND(L320="Mittellos und ambulant",D321&gt;0,D321&lt;=1),208,IF(AND(L320="Mittellos und stationär",D321&gt;8,D321&lt;=1000),62,IF(AND(L320="Mittellos und stationär",D321&gt;4,D321&lt;=8),87,IF(AND(L320="Mittellos und stationär",D321&gt;2,D321&lt;=4),124,IF(AND(L320="Mittellos und stationär",D321&gt;1,D321&lt;=2),129,IF(AND(L320="Mittellos und stationär",D321&gt;0,D321&lt;=1),194,""))))))))))))))))))))),IF(M319="Stufe B",IF(AND(L320="Auswahl treffen",D321&gt;=0,D321&lt;=1000),J319,IF(AND(L320="Vermögend und ambulant",D321&gt;8,D321&lt;=1000),161,IF(AND(L320="Vermögend und ambulant",D321&gt;4,D321&lt;=8),196,IF(AND(L320="Vermögend und ambulant",D321&gt;2,D321&lt;=4),238,IF(AND(L320="Vermögend und ambulant",D321&gt;1,D321&lt;=2),258,IF(AND(L320="Vermögend und ambulant",D321&gt;0,D321&lt;=1),370,IF(AND(L320="Vermögend und stationär",D321&gt;8,D321&lt;=1000),96,IF(AND(L320="Vermögend und stationär",D321&gt;4,D321&lt;=8),113,IF(AND(L320="Vermögend und stationär",D321&gt;2,D321&lt;=4),174,IF(AND(L320="Vermögend und stationär",D321&gt;1,D321&lt;=2),196,IF(AND(L320="Vermögend und stationär",D321&gt;0,D321&lt;=1),249,IF(AND(L320="Mittellos und ambulant",D321&gt;8,D321&lt;=1000),130,IF(AND(L320="Mittellos und ambulant",D321&gt;4,D321&lt;=8),151,IF(AND(L320="Mittellos und ambulant",D321&gt;2,D321&lt;=4),188,IF(AND(L320="Mittellos und ambulant",D321&gt;1,D321&lt;=2),211,IF(AND(L320="Mittellos und ambulant",D321&gt;0,D321&lt;=1),258,IF(AND(L320="Mittellos und stationär",D321&gt;8,D321&lt;=1000),78,IF(AND(L320="Mittellos und stationär",D321&gt;4,D321&lt;=8),107,IF(AND(L320="Mittellos und stationär",D321&gt;2,D321&lt;=4),154,IF(AND(L320="Mittellos und stationär",D321&gt;1,D321&lt;=2),158,IF(AND(L320="Mittellos und stationär",D321&gt;0,D321&lt;=1),241,""))))))))))))))))))))),IF(M319="Stufe C",IF(AND(L320="Auswahl treffen",D321&gt;=0,D321&lt;=1000),J319,IF(AND(L320="Vermögend und ambulant",D321&gt;8,D321&lt;=1000),211,IF(AND(L320="Vermögend und ambulant",D321&gt;4,D321&lt;=8),257,IF(AND(L320="Vermögend und ambulant",D321&gt;2,D321&lt;=4),312,IF(AND(L320="Vermögend und ambulant",D321&gt;1,D321&lt;=2),339,IF(AND(L320="Vermögend und ambulant",D321&gt;0,D321&lt;=1),486,IF(AND(L320="Vermögend und stationär",D321&gt;8,D321&lt;=1000),127,IF(AND(L320="Vermögend und stationär",D321&gt;4,D321&lt;=8),149,IF(AND(L320="Vermögend und stationär",D321&gt;2,D321&lt;=4),229,IF(AND(L320="Vermögend und stationär",D321&gt;1,D321&lt;=2),257,IF(AND(L320="Vermögend und stationär",D321&gt;0,D321&lt;=1),327,IF(AND(L320="Mittellos und ambulant",D321&gt;8,D321&lt;=1000),171,IF(AND(L320="Mittellos und ambulant",D321&gt;4,D321&lt;=8),198,IF(AND(L320="Mittellos und ambulant",D321&gt;2,D321&lt;=4),246,IF(AND(L320="Mittellos und ambulant",D321&gt;1,D321&lt;=2),277,IF(AND(L320="Mittellos und ambulant",D321&gt;0,D321&lt;=1),339,IF(AND(L320="Mittellos und stationär",D321&gt;8,D321&lt;=1000),102,IF(AND(L320="Mittellos und stationär",D321&gt;4,D321&lt;=8),141,IF(AND(L320="Mittellos und stationär",D321&gt;2,D321&lt;=4),202,IF(AND(L320="Mittellos und stationär",D321&gt;1,D321&lt;=2),208,IF(AND(L320="Mittellos und stationär",D321&gt;0,D321&lt;=1),317,""))))))))))))))))))))),"")))*3+(J319*90)</f>
        <v>#NUM!</v>
      </c>
      <c r="M322" s="507" t="str">
        <f>CONCATENATE(K322, K321)</f>
        <v>+Inflat.-P</v>
      </c>
      <c r="N322" s="206" t="s">
        <v>118</v>
      </c>
      <c r="O322" s="207"/>
      <c r="P322" s="207"/>
      <c r="Q322" s="208"/>
      <c r="R322" s="187"/>
      <c r="S322" s="209" t="s">
        <v>118</v>
      </c>
      <c r="T322" s="201" t="s">
        <v>117</v>
      </c>
      <c r="U322" s="210" t="s">
        <v>26</v>
      </c>
      <c r="V322" s="192"/>
      <c r="W322" s="203"/>
      <c r="X322" s="203"/>
      <c r="Y322" s="210"/>
      <c r="Z322" s="192"/>
      <c r="AA322" s="203"/>
      <c r="AB322" s="203"/>
      <c r="AC322" s="210"/>
      <c r="AD322" s="192"/>
      <c r="AE322" s="203"/>
      <c r="AF322" s="203"/>
      <c r="AG322" s="210"/>
      <c r="AH322" s="193"/>
      <c r="AI322" s="203"/>
      <c r="AJ322" s="203"/>
      <c r="AK322" s="376"/>
      <c r="AL322" s="348" t="s">
        <v>148</v>
      </c>
      <c r="AM322" s="354">
        <f>IF(SUM(N320:N328)=SUM(S320:S328), 0, SUM(N320:N328)-SUM(S320:S328))</f>
        <v>0</v>
      </c>
      <c r="AN322" s="354"/>
      <c r="AO322" s="354"/>
      <c r="AP322" s="354"/>
      <c r="AQ322" s="350">
        <f>AM322+AN322+AO322+AP322</f>
        <v>0</v>
      </c>
      <c r="AR322" s="769"/>
      <c r="AS322" s="769"/>
      <c r="AT322" s="769"/>
      <c r="AW322"/>
      <c r="AX322"/>
      <c r="AY322" s="280"/>
      <c r="AZ322"/>
      <c r="BA322"/>
      <c r="BB322"/>
      <c r="BC322"/>
      <c r="BD322"/>
      <c r="BE322"/>
      <c r="BF322"/>
      <c r="BG322" s="280"/>
      <c r="BH322"/>
      <c r="BI322"/>
      <c r="BJ322"/>
      <c r="BK322"/>
      <c r="BL322"/>
      <c r="BM322"/>
      <c r="BN322"/>
      <c r="BO322"/>
    </row>
    <row r="323" spans="1:67" ht="22.25" customHeight="1">
      <c r="A323" s="181">
        <f t="shared" si="101"/>
        <v>45292</v>
      </c>
      <c r="B323" s="484" t="e">
        <f>MONTH(I320)</f>
        <v>#NUM!</v>
      </c>
      <c r="C323" s="489" t="s">
        <v>158</v>
      </c>
      <c r="D323" s="522" t="e">
        <f>D321+1</f>
        <v>#NUM!</v>
      </c>
      <c r="E323" s="211" t="e">
        <f>DATE(YEAR(E322),MONTH(E322),DAY(E322)+1)</f>
        <v>#NUM!</v>
      </c>
      <c r="F323" s="212" t="e">
        <f t="shared" si="118"/>
        <v>#NUM!</v>
      </c>
      <c r="G323" s="213" t="e">
        <f t="shared" si="119"/>
        <v>#NUM!</v>
      </c>
      <c r="H323" s="212" t="e">
        <f t="shared" si="120"/>
        <v>#NUM!</v>
      </c>
      <c r="I323" s="214" t="str">
        <f>IF(D320&lt;&gt;0,"-1T","")</f>
        <v/>
      </c>
      <c r="J323" s="215" t="e">
        <f>DATE($B325,I324,$B321)</f>
        <v>#NUM!</v>
      </c>
      <c r="K323" s="506" t="str">
        <f t="shared" si="102"/>
        <v/>
      </c>
      <c r="L323" s="470"/>
      <c r="M323" s="473" t="e">
        <f ca="1">SUM(J320-E324)&amp;" Tage"</f>
        <v>#NUM!</v>
      </c>
      <c r="N323" s="216"/>
      <c r="O323" s="217"/>
      <c r="P323" s="188"/>
      <c r="Q323" s="217"/>
      <c r="R323" s="189"/>
      <c r="S323" s="190"/>
      <c r="T323" s="190"/>
      <c r="U323" s="191"/>
      <c r="V323" s="192"/>
      <c r="W323" s="190"/>
      <c r="X323" s="190"/>
      <c r="Y323" s="191"/>
      <c r="Z323" s="192"/>
      <c r="AA323" s="190"/>
      <c r="AB323" s="190"/>
      <c r="AC323" s="191"/>
      <c r="AD323" s="192"/>
      <c r="AE323" s="190"/>
      <c r="AF323" s="190"/>
      <c r="AG323" s="191"/>
      <c r="AH323" s="193"/>
      <c r="AI323" s="190"/>
      <c r="AJ323" s="190"/>
      <c r="AK323" s="374"/>
      <c r="AL323" s="348"/>
      <c r="AM323" s="354"/>
      <c r="AN323" s="354"/>
      <c r="AO323" s="354"/>
      <c r="AP323" s="354"/>
      <c r="AQ323" s="350"/>
      <c r="AR323" s="769"/>
      <c r="AS323" s="769"/>
      <c r="AT323" s="769"/>
      <c r="AW323"/>
      <c r="AX323"/>
      <c r="AY323" s="280"/>
      <c r="AZ323"/>
      <c r="BA323"/>
      <c r="BB323"/>
      <c r="BC323"/>
      <c r="BD323"/>
      <c r="BE323"/>
      <c r="BF323"/>
      <c r="BG323" s="280"/>
      <c r="BH323"/>
      <c r="BI323"/>
      <c r="BJ323"/>
      <c r="BK323"/>
      <c r="BL323"/>
      <c r="BM323"/>
      <c r="BN323"/>
      <c r="BO323"/>
    </row>
    <row r="324" spans="1:67" ht="22.25" customHeight="1">
      <c r="A324" s="181">
        <f t="shared" si="101"/>
        <v>45292</v>
      </c>
      <c r="B324" s="485"/>
      <c r="C324" s="490"/>
      <c r="D324" s="521"/>
      <c r="E324" s="218" t="e">
        <f>DATE(YEAR(E323),MONTH(E323)+3,DAY(E323)-1)</f>
        <v>#NUM!</v>
      </c>
      <c r="F324" s="212" t="e">
        <f t="shared" si="118"/>
        <v>#NUM!</v>
      </c>
      <c r="G324" s="213" t="e">
        <f t="shared" si="119"/>
        <v>#NUM!</v>
      </c>
      <c r="H324" s="212" t="e">
        <f t="shared" si="120"/>
        <v>#NUM!</v>
      </c>
      <c r="I324" s="219">
        <f>MAX(I325:I328)</f>
        <v>9</v>
      </c>
      <c r="J324" s="220" t="e">
        <f>DATE(YEAR(J323)+1,MONTH(J323),DAY(J323))</f>
        <v>#NUM!</v>
      </c>
      <c r="K324" s="501" t="str">
        <f t="shared" si="102"/>
        <v>+Inflat.-P</v>
      </c>
      <c r="L324" s="508" t="e">
        <f>IF(M319="Stufe A",IF(AND(L320="Auswahl treffen",D323&gt;=0,D323&lt;=1000),J319,IF(AND(L320="Vermögend und ambulant",D323&gt;8,D323&lt;=1000),130,IF(AND(L320="Vermögend und ambulant",D323&gt;4,D323&lt;=8),158,IF(AND(L320="Vermögend und ambulant",D323&gt;2,D323&lt;=4),192,IF(AND(L320="Vermögend und ambulant",D323&gt;1,D323&lt;=2),208,IF(AND(L320="Vermögend und ambulant",D323&gt;0,D323&lt;=1),298,IF(AND(L320="Vermögend und stationär",D323&gt;8,D323&lt;=1000),78,IF(AND(L320="Vermögend und stationär",D323&gt;4,D323&lt;=8),91,IF(AND(L320="Vermögend und stationär",D323&gt;2,D323&lt;=4),140,IF(AND(L320="Vermögend und stationär",D323&gt;1,D323&lt;=2),158,IF(AND(L320="Vermögend und stationär",D323&gt;0,D323&lt;=1),200,IF(AND(L320="Mittellos und ambulant",D323&gt;8,D323&lt;=1000),105,IF(AND(L320="Mittellos und ambulant",D323&gt;4,D323&lt;=8),122,IF(AND(L320="Mittellos und ambulant",D323&gt;2,D323&lt;=4),151,IF(AND(L320="Mittellos und ambulant",D323&gt;1,D323&lt;=2),170,IF(AND(L320="Mittellos und ambulant",D323&gt;0,D323&lt;=1),208,IF(AND(L320="Mittellos und stationär",D323&gt;8,D323&lt;=1000),62,IF(AND(L320="Mittellos und stationär",D323&gt;4,D323&lt;=8),87,IF(AND(L320="Mittellos und stationär",D323&gt;2,D323&lt;=4),124,IF(AND(L320="Mittellos und stationär",D323&gt;1,D323&lt;=2),129,IF(AND(L320="Mittellos und stationär",D323&gt;0,D323&lt;=1),194,""))))))))))))))))))))),IF(M319="Stufe B",IF(AND(L320="Auswahl treffen",D323&gt;=0,D323&lt;=1000),J319,IF(AND(L320="Vermögend und ambulant",D323&gt;8,D323&lt;=1000),161,IF(AND(L320="Vermögend und ambulant",D323&gt;4,D323&lt;=8),196,IF(AND(L320="Vermögend und ambulant",D323&gt;2,D323&lt;=4),238,IF(AND(L320="Vermögend und ambulant",D323&gt;1,D323&lt;=2),258,IF(AND(L320="Vermögend und ambulant",D323&gt;0,D323&lt;=1),370,IF(AND(L320="Vermögend und stationär",D323&gt;8,D323&lt;=1000),96,IF(AND(L320="Vermögend und stationär",D323&gt;4,D323&lt;=8),113,IF(AND(L320="Vermögend und stationär",D323&gt;2,D323&lt;=4),174,IF(AND(L320="Vermögend und stationär",D323&gt;1,D323&lt;=2),196,IF(AND(L320="Vermögend und stationär",D323&gt;0,D323&lt;=1),249,IF(AND(L320="Mittellos und ambulant",D323&gt;8,D323&lt;=1000),130,IF(AND(L320="Mittellos und ambulant",D323&gt;4,D323&lt;=8),151,IF(AND(L320="Mittellos und ambulant",D323&gt;2,D323&lt;=4),188,IF(AND(L320="Mittellos und ambulant",D323&gt;1,D323&lt;=2),211,IF(AND(L320="Mittellos und ambulant",D323&gt;0,D323&lt;=1),258,IF(AND(L320="Mittellos und stationär",D323&gt;8,D323&lt;=1000),78,IF(AND(L320="Mittellos und stationär",D323&gt;4,D323&lt;=8),107,IF(AND(L320="Mittellos und stationär",D323&gt;2,D323&lt;=4),154,IF(AND(L320="Mittellos und stationär",D323&gt;1,D323&lt;=2),158,IF(AND(L320="Mittellos und stationär",D323&gt;0,D323&lt;=1),241,""))))))))))))))))))))),IF(M319="Stufe C",IF(AND(L320="Auswahl treffen",D323&gt;=0,D323&lt;=1000),J319,IF(AND(L320="Vermögend und ambulant",D323&gt;8,D323&lt;=1000),211,IF(AND(L320="Vermögend und ambulant",D323&gt;4,D323&lt;=8),257,IF(AND(L320="Vermögend und ambulant",D323&gt;2,D323&lt;=4),312,IF(AND(L320="Vermögend und ambulant",D323&gt;1,D323&lt;=2),339,IF(AND(L320="Vermögend und ambulant",D323&gt;0,D323&lt;=1),486,IF(AND(L320="Vermögend und stationär",D323&gt;8,D323&lt;=1000),127,IF(AND(L320="Vermögend und stationär",D323&gt;4,D323&lt;=8),149,IF(AND(L320="Vermögend und stationär",D323&gt;2,D323&lt;=4),229,IF(AND(L320="Vermögend und stationär",D323&gt;1,D323&lt;=2),257,IF(AND(L320="Vermögend und stationär",D323&gt;0,D323&lt;=1),327,IF(AND(L320="Mittellos und ambulant",D323&gt;8,D323&lt;=1000),171,IF(AND(L320="Mittellos und ambulant",D323&gt;4,D323&lt;=8),198,IF(AND(L320="Mittellos und ambulant",D323&gt;2,D323&lt;=4),246,IF(AND(L320="Mittellos und ambulant",D323&gt;1,D323&lt;=2),277,IF(AND(L320="Mittellos und ambulant",D323&gt;0,D323&lt;=1),339,IF(AND(L320="Mittellos und stationär",D323&gt;8,D323&lt;=1000),102,IF(AND(L320="Mittellos und stationär",D323&gt;4,D323&lt;=8),141,IF(AND(L320="Mittellos und stationär",D323&gt;2,D323&lt;=4),202,IF(AND(L320="Mittellos und stationär",D323&gt;1,D323&lt;=2),208,IF(AND(L320="Mittellos und stationär",D323&gt;0,D323&lt;=1),317,""))))))))))))))))))))),"")))*3+(J319*90)</f>
        <v>#NUM!</v>
      </c>
      <c r="M324" s="507" t="str">
        <f>CONCATENATE(K324, K323)</f>
        <v>+Inflat.-P</v>
      </c>
      <c r="N324" s="216"/>
      <c r="O324" s="188" t="s">
        <v>118</v>
      </c>
      <c r="P324" s="188"/>
      <c r="Q324" s="221"/>
      <c r="R324" s="199"/>
      <c r="S324" s="190"/>
      <c r="T324" s="190"/>
      <c r="U324" s="191"/>
      <c r="V324" s="192"/>
      <c r="W324" s="222" t="s">
        <v>118</v>
      </c>
      <c r="X324" s="222" t="s">
        <v>117</v>
      </c>
      <c r="Y324" s="191" t="s">
        <v>26</v>
      </c>
      <c r="Z324" s="192"/>
      <c r="AA324" s="190"/>
      <c r="AB324" s="190"/>
      <c r="AC324" s="191"/>
      <c r="AD324" s="192"/>
      <c r="AE324" s="190"/>
      <c r="AF324" s="190"/>
      <c r="AG324" s="191"/>
      <c r="AH324" s="193"/>
      <c r="AI324" s="190"/>
      <c r="AJ324" s="190"/>
      <c r="AK324" s="374"/>
      <c r="AL324" s="348" t="s">
        <v>149</v>
      </c>
      <c r="AM324" s="354"/>
      <c r="AN324" s="354">
        <f>IF(SUM(O320:O328)=SUM(W320:W328), 0, SUM(O320:O328)-SUM(W320:W328))</f>
        <v>0</v>
      </c>
      <c r="AO324" s="354"/>
      <c r="AP324" s="354"/>
      <c r="AQ324" s="350">
        <f>AM324+AN324+AO324+AP324</f>
        <v>0</v>
      </c>
      <c r="AR324" s="769"/>
      <c r="AS324" s="769"/>
      <c r="AT324" s="769"/>
      <c r="AW324"/>
      <c r="AX324"/>
      <c r="AY324" s="280"/>
      <c r="AZ324"/>
      <c r="BA324"/>
      <c r="BB324"/>
      <c r="BC324"/>
      <c r="BD324"/>
      <c r="BE324"/>
      <c r="BF324"/>
      <c r="BG324" s="280"/>
      <c r="BH324"/>
      <c r="BI324"/>
      <c r="BJ324"/>
      <c r="BK324"/>
      <c r="BL324"/>
      <c r="BM324"/>
      <c r="BN324"/>
      <c r="BO324"/>
    </row>
    <row r="325" spans="1:67" ht="22.25" customHeight="1">
      <c r="A325" s="181">
        <f t="shared" si="101"/>
        <v>45292</v>
      </c>
      <c r="B325" s="484">
        <f>YEAR($A326)-1</f>
        <v>2023</v>
      </c>
      <c r="C325" s="489" t="s">
        <v>158</v>
      </c>
      <c r="D325" s="520" t="e">
        <f>D323+1</f>
        <v>#NUM!</v>
      </c>
      <c r="E325" s="194" t="e">
        <f>DATE(YEAR(E324),MONTH(E324),DAY(E324)+1)</f>
        <v>#NUM!</v>
      </c>
      <c r="F325" s="195" t="e">
        <f t="shared" si="118"/>
        <v>#NUM!</v>
      </c>
      <c r="G325" s="196" t="e">
        <f t="shared" si="119"/>
        <v>#NUM!</v>
      </c>
      <c r="H325" s="195" t="e">
        <f t="shared" si="120"/>
        <v>#NUM!</v>
      </c>
      <c r="I325" s="197">
        <f>IF(J327&lt;13,J327,"")</f>
        <v>9</v>
      </c>
      <c r="J325" s="224">
        <f>G320</f>
        <v>0</v>
      </c>
      <c r="K325" s="506" t="str">
        <f t="shared" si="102"/>
        <v/>
      </c>
      <c r="L325" s="471"/>
      <c r="M325" s="473" t="e">
        <f ca="1">SUM(J320-E326)&amp;" Tage"</f>
        <v>#NUM!</v>
      </c>
      <c r="N325" s="200"/>
      <c r="O325" s="201"/>
      <c r="P325" s="201"/>
      <c r="Q325" s="202"/>
      <c r="R325" s="189"/>
      <c r="S325" s="203"/>
      <c r="T325" s="203"/>
      <c r="U325" s="204"/>
      <c r="V325" s="192"/>
      <c r="W325" s="203"/>
      <c r="X325" s="203"/>
      <c r="Y325" s="204"/>
      <c r="Z325" s="192"/>
      <c r="AA325" s="203"/>
      <c r="AB325" s="203"/>
      <c r="AC325" s="204"/>
      <c r="AD325" s="192"/>
      <c r="AE325" s="203"/>
      <c r="AF325" s="203"/>
      <c r="AG325" s="204"/>
      <c r="AH325" s="193"/>
      <c r="AI325" s="203"/>
      <c r="AJ325" s="203"/>
      <c r="AK325" s="375"/>
      <c r="AL325" s="348"/>
      <c r="AM325" s="354"/>
      <c r="AN325" s="354"/>
      <c r="AO325" s="354"/>
      <c r="AP325" s="354"/>
      <c r="AQ325" s="350"/>
      <c r="AR325" s="769"/>
      <c r="AS325" s="769"/>
      <c r="AT325" s="769"/>
      <c r="AW325"/>
      <c r="AX325"/>
      <c r="AY325" s="280"/>
      <c r="AZ325"/>
      <c r="BA325"/>
      <c r="BB325"/>
      <c r="BC325"/>
      <c r="BD325"/>
      <c r="BE325"/>
      <c r="BF325"/>
      <c r="BG325" s="280"/>
      <c r="BH325"/>
      <c r="BI325"/>
      <c r="BJ325"/>
      <c r="BK325"/>
      <c r="BL325"/>
      <c r="BM325"/>
      <c r="BN325"/>
      <c r="BO325"/>
    </row>
    <row r="326" spans="1:67" ht="22.25" customHeight="1">
      <c r="A326" s="181">
        <f t="shared" si="101"/>
        <v>45292</v>
      </c>
      <c r="B326" s="485"/>
      <c r="C326" s="490"/>
      <c r="D326" s="521"/>
      <c r="E326" s="194" t="e">
        <f>DATE(YEAR(E325),MONTH(E325)+3,DAY(E325)-1)</f>
        <v>#NUM!</v>
      </c>
      <c r="F326" s="195" t="e">
        <f t="shared" si="118"/>
        <v>#NUM!</v>
      </c>
      <c r="G326" s="196" t="e">
        <f t="shared" si="119"/>
        <v>#NUM!</v>
      </c>
      <c r="H326" s="195" t="e">
        <f t="shared" si="120"/>
        <v>#NUM!</v>
      </c>
      <c r="I326" s="244">
        <f>IF(J328&lt;13,J328,"")</f>
        <v>6</v>
      </c>
      <c r="J326" s="224">
        <f>J325+3</f>
        <v>3</v>
      </c>
      <c r="K326" s="501" t="str">
        <f t="shared" si="102"/>
        <v>+Inflat.-P</v>
      </c>
      <c r="L326" s="511" t="e">
        <f>IF(M319="Stufe A",IF(AND(L320="Auswahl treffen",D325&gt;=0,D325&lt;=1000),J319,IF(AND(L320="Vermögend und ambulant",D325&gt;8,D325&lt;=1000),130,IF(AND(L320="Vermögend und ambulant",D325&gt;4,D325&lt;=8),158,IF(AND(L320="Vermögend und ambulant",D325&gt;2,D325&lt;=4),192,IF(AND(L320="Vermögend und ambulant",D325&gt;1,D325&lt;=2),208,IF(AND(L320="Vermögend und ambulant",D325&gt;0,D325&lt;=1),298,IF(AND(L320="Vermögend und stationär",D325&gt;8,D325&lt;=1000),78,IF(AND(L320="Vermögend und stationär",D325&gt;4,D325&lt;=8),91,IF(AND(L320="Vermögend und stationär",D325&gt;2,D325&lt;=4),140,IF(AND(L320="Vermögend und stationär",D325&gt;1,D325&lt;=2),158,IF(AND(L320="Vermögend und stationär",D325&gt;0,D325&lt;=1),200,IF(AND(L320="Mittellos und ambulant",D325&gt;8,D325&lt;=1000),105,IF(AND(L320="Mittellos und ambulant",D325&gt;4,D325&lt;=8),122,IF(AND(L320="Mittellos und ambulant",D325&gt;2,D325&lt;=4),151,IF(AND(L320="Mittellos und ambulant",D325&gt;1,D325&lt;=2),170,IF(AND(L320="Mittellos und ambulant",D325&gt;0,D325&lt;=1),208,IF(AND(L320="Mittellos und stationär",D325&gt;8,D325&lt;=1000),62,IF(AND(L320="Mittellos und stationär",D325&gt;4,D325&lt;=8),87,IF(AND(L320="Mittellos und stationär",D325&gt;2,D325&lt;=4),124,IF(AND(L320="Mittellos und stationär",D325&gt;1,D325&lt;=2),129,IF(AND(L320="Mittellos und stationär",D325&gt;0,D325&lt;=1),194,""))))))))))))))))))))),IF(M319="Stufe B",IF(AND(L320="Auswahl treffen",D325&gt;=0,D325&lt;=1000),J319,IF(AND(L320="Vermögend und ambulant",D325&gt;8,D325&lt;=1000),161,IF(AND(L320="Vermögend und ambulant",D325&gt;4,D325&lt;=8),196,IF(AND(L320="Vermögend und ambulant",D325&gt;2,D325&lt;=4),238,IF(AND(L320="Vermögend und ambulant",D325&gt;1,D325&lt;=2),258,IF(AND(L320="Vermögend und ambulant",D325&gt;0,D325&lt;=1),370,IF(AND(L320="Vermögend und stationär",D325&gt;8,D325&lt;=1000),96,IF(AND(L320="Vermögend und stationär",D325&gt;4,D325&lt;=8),113,IF(AND(L320="Vermögend und stationär",D325&gt;2,D325&lt;=4),174,IF(AND(L320="Vermögend und stationär",D325&gt;1,D325&lt;=2),196,IF(AND(L320="Vermögend und stationär",D325&gt;0,D325&lt;=1),249,IF(AND(L320="Mittellos und ambulant",D325&gt;8,D325&lt;=1000),130,IF(AND(L320="Mittellos und ambulant",D325&gt;4,D325&lt;=8),151,IF(AND(L320="Mittellos und ambulant",D325&gt;2,D325&lt;=4),188,IF(AND(L320="Mittellos und ambulant",D325&gt;1,D325&lt;=2),211,IF(AND(L320="Mittellos und ambulant",D325&gt;0,D325&lt;=1),258,IF(AND(L320="Mittellos und stationär",D325&gt;8,D325&lt;=1000),78,IF(AND(L320="Mittellos und stationär",D325&gt;4,D325&lt;=8),107,IF(AND(L320="Mittellos und stationär",D325&gt;2,D325&lt;=4),154,IF(AND(L320="Mittellos und stationär",D325&gt;1,D325&lt;=2),158,IF(AND(L320="Mittellos und stationär",D325&gt;0,D325&lt;=1),241,""))))))))))))))))))))),IF(M319="Stufe C",IF(AND(L320="Auswahl treffen",D325&gt;=0,D325&lt;=1000),J319,IF(AND(L320="Vermögend und ambulant",D325&gt;8,D325&lt;=1000),211,IF(AND(L320="Vermögend und ambulant",D325&gt;4,D325&lt;=8),257,IF(AND(L320="Vermögend und ambulant",D325&gt;2,D325&lt;=4),312,IF(AND(L320="Vermögend und ambulant",D325&gt;1,D325&lt;=2),339,IF(AND(L320="Vermögend und ambulant",D325&gt;0,D325&lt;=1),486,IF(AND(L320="Vermögend und stationär",D325&gt;8,D325&lt;=1000),127,IF(AND(L320="Vermögend und stationär",D325&gt;4,D325&lt;=8),149,IF(AND(L320="Vermögend und stationär",D325&gt;2,D325&lt;=4),229,IF(AND(L320="Vermögend und stationär",D325&gt;1,D325&lt;=2),257,IF(AND(L320="Vermögend und stationär",D325&gt;0,D325&lt;=1),327,IF(AND(L320="Mittellos und ambulant",D325&gt;8,D325&lt;=1000),171,IF(AND(L320="Mittellos und ambulant",D325&gt;4,D325&lt;=8),198,IF(AND(L320="Mittellos und ambulant",D325&gt;2,D325&lt;=4),246,IF(AND(L320="Mittellos und ambulant",D325&gt;1,D325&lt;=2),277,IF(AND(L320="Mittellos und ambulant",D325&gt;0,D325&lt;=1),339,IF(AND(L320="Mittellos und stationär",D325&gt;8,D325&lt;=1000),102,IF(AND(L320="Mittellos und stationär",D325&gt;4,D325&lt;=8),141,IF(AND(L320="Mittellos und stationär",D325&gt;2,D325&lt;=4),202,IF(AND(L320="Mittellos und stationär",D325&gt;1,D325&lt;=2),208,IF(AND(L320="Mittellos und stationär",D325&gt;0,D325&lt;=1),317,""))))))))))))))))))))),"")))*3+(J319*90)</f>
        <v>#NUM!</v>
      </c>
      <c r="M326" s="507" t="str">
        <f>CONCATENATE(K326, K325)</f>
        <v>+Inflat.-P</v>
      </c>
      <c r="N326" s="206"/>
      <c r="O326" s="207"/>
      <c r="P326" s="206" t="s">
        <v>118</v>
      </c>
      <c r="Q326" s="226"/>
      <c r="R326" s="189"/>
      <c r="S326" s="203"/>
      <c r="T326" s="203"/>
      <c r="U326" s="204"/>
      <c r="V326" s="192"/>
      <c r="W326" s="203"/>
      <c r="X326" s="203"/>
      <c r="Y326" s="204"/>
      <c r="Z326" s="192"/>
      <c r="AA326" s="209" t="s">
        <v>118</v>
      </c>
      <c r="AB326" s="209" t="s">
        <v>117</v>
      </c>
      <c r="AC326" s="204" t="s">
        <v>26</v>
      </c>
      <c r="AD326" s="192"/>
      <c r="AE326" s="203"/>
      <c r="AF326" s="203"/>
      <c r="AG326" s="204"/>
      <c r="AH326" s="193"/>
      <c r="AI326" s="203"/>
      <c r="AJ326" s="203"/>
      <c r="AK326" s="375"/>
      <c r="AL326" s="348" t="s">
        <v>150</v>
      </c>
      <c r="AM326" s="354"/>
      <c r="AN326" s="354"/>
      <c r="AO326" s="354">
        <f>IF(SUM(P320:P328)=SUM(AA320:AA328), 0, SUM(P320:P328)-SUM(AA320:AA328))</f>
        <v>0</v>
      </c>
      <c r="AP326" s="354"/>
      <c r="AQ326" s="350">
        <f>AM326+AN326+AO326+AP326</f>
        <v>0</v>
      </c>
      <c r="AR326" s="769"/>
      <c r="AS326" s="769"/>
      <c r="AT326" s="769"/>
      <c r="AW326"/>
      <c r="AX326"/>
      <c r="AY326" s="280"/>
      <c r="AZ326"/>
      <c r="BA326"/>
      <c r="BB326"/>
      <c r="BC326"/>
      <c r="BD326"/>
      <c r="BE326"/>
      <c r="BF326"/>
      <c r="BG326" s="280"/>
      <c r="BH326"/>
      <c r="BI326"/>
      <c r="BJ326"/>
      <c r="BK326"/>
      <c r="BL326"/>
      <c r="BM326"/>
      <c r="BN326"/>
      <c r="BO326"/>
    </row>
    <row r="327" spans="1:67" ht="22.25" customHeight="1">
      <c r="A327" s="181">
        <f t="shared" si="101"/>
        <v>45292</v>
      </c>
      <c r="B327" s="486"/>
      <c r="C327" s="489" t="s">
        <v>158</v>
      </c>
      <c r="D327" s="522" t="e">
        <f>D325+1</f>
        <v>#NUM!</v>
      </c>
      <c r="E327" s="211" t="e">
        <f>DATE(YEAR(E326),MONTH(E326),DAY(E326)+1)</f>
        <v>#NUM!</v>
      </c>
      <c r="F327" s="227" t="e">
        <f t="shared" si="118"/>
        <v>#NUM!</v>
      </c>
      <c r="G327" s="228" t="e">
        <f t="shared" si="119"/>
        <v>#NUM!</v>
      </c>
      <c r="H327" s="227" t="e">
        <f t="shared" si="120"/>
        <v>#NUM!</v>
      </c>
      <c r="I327" s="231">
        <f>IF(J326&lt;13,J326,"")</f>
        <v>3</v>
      </c>
      <c r="J327" s="230">
        <f>J328+3</f>
        <v>9</v>
      </c>
      <c r="K327" s="501" t="str">
        <f t="shared" si="102"/>
        <v/>
      </c>
      <c r="L327" s="471"/>
      <c r="M327" s="473" t="e">
        <f ca="1">SUM(J320-E328)&amp;" Tage"</f>
        <v>#NUM!</v>
      </c>
      <c r="N327" s="216"/>
      <c r="O327" s="188"/>
      <c r="P327" s="188"/>
      <c r="Q327" s="217"/>
      <c r="R327" s="189"/>
      <c r="S327" s="190"/>
      <c r="T327" s="190"/>
      <c r="U327" s="191"/>
      <c r="V327" s="192"/>
      <c r="W327" s="190"/>
      <c r="X327" s="190"/>
      <c r="Y327" s="191"/>
      <c r="Z327" s="192"/>
      <c r="AA327" s="190"/>
      <c r="AB327" s="190"/>
      <c r="AC327" s="191"/>
      <c r="AD327" s="192"/>
      <c r="AE327" s="190"/>
      <c r="AF327" s="190"/>
      <c r="AG327" s="191"/>
      <c r="AH327" s="193"/>
      <c r="AI327" s="190"/>
      <c r="AJ327" s="190"/>
      <c r="AK327" s="374"/>
      <c r="AL327" s="348"/>
      <c r="AM327" s="354"/>
      <c r="AN327" s="354"/>
      <c r="AO327" s="354"/>
      <c r="AP327" s="354"/>
      <c r="AQ327" s="350"/>
      <c r="AR327" s="769"/>
      <c r="AS327" s="769"/>
      <c r="AT327" s="769"/>
      <c r="AW327"/>
      <c r="AX327"/>
      <c r="AY327" s="280"/>
      <c r="AZ327"/>
      <c r="BA327"/>
      <c r="BB327"/>
      <c r="BC327"/>
      <c r="BD327"/>
      <c r="BE327"/>
      <c r="BF327"/>
      <c r="BG327" s="280"/>
      <c r="BH327"/>
      <c r="BI327"/>
      <c r="BJ327"/>
      <c r="BK327"/>
      <c r="BL327"/>
      <c r="BM327"/>
      <c r="BN327"/>
      <c r="BO327"/>
    </row>
    <row r="328" spans="1:67" ht="22.25" customHeight="1">
      <c r="A328" s="181">
        <f t="shared" si="101"/>
        <v>45292</v>
      </c>
      <c r="B328" s="485"/>
      <c r="C328" s="490"/>
      <c r="D328" s="521"/>
      <c r="E328" s="218" t="e">
        <f>DATE(YEAR(E327),MONTH(E327)+3,DAY(E327)-1)</f>
        <v>#NUM!</v>
      </c>
      <c r="F328" s="227" t="e">
        <f t="shared" si="118"/>
        <v>#NUM!</v>
      </c>
      <c r="G328" s="228" t="e">
        <f t="shared" si="119"/>
        <v>#NUM!</v>
      </c>
      <c r="H328" s="227" t="e">
        <f t="shared" si="120"/>
        <v>#NUM!</v>
      </c>
      <c r="I328" s="231">
        <f>IF(J325&lt;13,J325,"")</f>
        <v>0</v>
      </c>
      <c r="J328" s="230">
        <f>J326+3</f>
        <v>6</v>
      </c>
      <c r="K328" s="506" t="str">
        <f t="shared" si="102"/>
        <v>+Inflat.-P</v>
      </c>
      <c r="L328" s="508" t="e">
        <f>IF(M319="Stufe A",IF(AND(L320="Auswahl treffen",D327&gt;=0,D327&lt;=1000),J319,IF(AND(L320="Vermögend und ambulant",D327&gt;8,D327&lt;=1000),130,IF(AND(L320="Vermögend und ambulant",D327&gt;4,D327&lt;=8),158,IF(AND(L320="Vermögend und ambulant",D327&gt;2,D327&lt;=4),192,IF(AND(L320="Vermögend und ambulant",D327&gt;1,D327&lt;=2),208,IF(AND(L320="Vermögend und ambulant",D327&gt;0,D327&lt;=1),298,IF(AND(L320="Vermögend und stationär",D327&gt;8,D327&lt;=1000),78,IF(AND(L320="Vermögend und stationär",D327&gt;4,D327&lt;=8),91,IF(AND(L320="Vermögend und stationär",D327&gt;2,D327&lt;=4),140,IF(AND(L320="Vermögend und stationär",D327&gt;1,D327&lt;=2),158,IF(AND(L320="Vermögend und stationär",D327&gt;0,D327&lt;=1),200,IF(AND(L320="Mittellos und ambulant",D327&gt;8,D327&lt;=1000),105,IF(AND(L320="Mittellos und ambulant",D327&gt;4,D327&lt;=8),122,IF(AND(L320="Mittellos und ambulant",D327&gt;2,D327&lt;=4),151,IF(AND(L320="Mittellos und ambulant",D327&gt;1,D327&lt;=2),170,IF(AND(L320="Mittellos und ambulant",D327&gt;0,D327&lt;=1),208,IF(AND(L320="Mittellos und stationär",D327&gt;8,D327&lt;=1000),62,IF(AND(L320="Mittellos und stationär",D327&gt;4,D327&lt;=8),87,IF(AND(L320="Mittellos und stationär",D327&gt;2,D327&lt;=4),124,IF(AND(L320="Mittellos und stationär",D327&gt;1,D327&lt;=2),129,IF(AND(L320="Mittellos und stationär",D327&gt;0,D327&lt;=1),194,""))))))))))))))))))))),IF(M319="Stufe B",IF(AND(L320="Auswahl treffen",D327&gt;=0,D327&lt;=1000),J319,IF(AND(L320="Vermögend und ambulant",D327&gt;8,D327&lt;=1000),161,IF(AND(L320="Vermögend und ambulant",D327&gt;4,D327&lt;=8),196,IF(AND(L320="Vermögend und ambulant",D327&gt;2,D327&lt;=4),238,IF(AND(L320="Vermögend und ambulant",D327&gt;1,D327&lt;=2),258,IF(AND(L320="Vermögend und ambulant",D327&gt;0,D327&lt;=1),370,IF(AND(L320="Vermögend und stationär",D327&gt;8,D327&lt;=1000),96,IF(AND(L320="Vermögend und stationär",D327&gt;4,D327&lt;=8),113,IF(AND(L320="Vermögend und stationär",D327&gt;2,D327&lt;=4),174,IF(AND(L320="Vermögend und stationär",D327&gt;1,D327&lt;=2),196,IF(AND(L320="Vermögend und stationär",D327&gt;0,D327&lt;=1),249,IF(AND(L320="Mittellos und ambulant",D327&gt;8,D327&lt;=1000),130,IF(AND(L320="Mittellos und ambulant",D327&gt;4,D327&lt;=8),151,IF(AND(L320="Mittellos und ambulant",D327&gt;2,D327&lt;=4),188,IF(AND(L320="Mittellos und ambulant",D327&gt;1,D327&lt;=2),211,IF(AND(L320="Mittellos und ambulant",D327&gt;0,D327&lt;=1),258,IF(AND(L320="Mittellos und stationär",D327&gt;8,D327&lt;=1000),78,IF(AND(L320="Mittellos und stationär",D327&gt;4,D327&lt;=8),107,IF(AND(L320="Mittellos und stationär",D327&gt;2,D327&lt;=4),154,IF(AND(L320="Mittellos und stationär",D327&gt;1,D327&lt;=2),158,IF(AND(L320="Mittellos und stationär",D327&gt;0,D327&lt;=1),241,""))))))))))))))))))))),IF(M319="Stufe C",IF(AND(L320="Auswahl treffen",D327&gt;=0,D327&lt;=1000),J319,IF(AND(L320="Vermögend und ambulant",D327&gt;8,D327&lt;=1000),211,IF(AND(L320="Vermögend und ambulant",D327&gt;4,D327&lt;=8),257,IF(AND(L320="Vermögend und ambulant",D327&gt;2,D327&lt;=4),312,IF(AND(L320="Vermögend und ambulant",D327&gt;1,D327&lt;=2),339,IF(AND(L320="Vermögend und ambulant",D327&gt;0,D327&lt;=1),486,IF(AND(L320="Vermögend und stationär",D327&gt;8,D327&lt;=1000),127,IF(AND(L320="Vermögend und stationär",D327&gt;4,D327&lt;=8),149,IF(AND(L320="Vermögend und stationär",D327&gt;2,D327&lt;=4),229,IF(AND(L320="Vermögend und stationär",D327&gt;1,D327&lt;=2),257,IF(AND(L320="Vermögend und stationär",D327&gt;0,D327&lt;=1),327,IF(AND(L320="Mittellos und ambulant",D327&gt;8,D327&lt;=1000),171,IF(AND(L320="Mittellos und ambulant",D327&gt;4,D327&lt;=8),198,IF(AND(L320="Mittellos und ambulant",D327&gt;2,D327&lt;=4),246,IF(AND(L320="Mittellos und ambulant",D327&gt;1,D327&lt;=2),277,IF(AND(L320="Mittellos und ambulant",D327&gt;0,D327&lt;=1),339,IF(AND(L320="Mittellos und stationär",D327&gt;8,D327&lt;=1000),102,IF(AND(L320="Mittellos und stationär",D327&gt;4,D327&lt;=8),141,IF(AND(L320="Mittellos und stationär",D327&gt;2,D327&lt;=4),202,IF(AND(L320="Mittellos und stationär",D327&gt;1,D327&lt;=2),208,IF(AND(L320="Mittellos und stationär",D327&gt;0,D327&lt;=1),317,""))))))))))))))))))))),"")))*3+(J319*90)</f>
        <v>#NUM!</v>
      </c>
      <c r="M328" s="507" t="str">
        <f>CONCATENATE(K328, K327)</f>
        <v>+Inflat.-P</v>
      </c>
      <c r="N328" s="216"/>
      <c r="O328" s="188"/>
      <c r="P328" s="188"/>
      <c r="Q328" s="217" t="s">
        <v>118</v>
      </c>
      <c r="R328" s="189"/>
      <c r="S328" s="190"/>
      <c r="T328" s="190"/>
      <c r="U328" s="191"/>
      <c r="V328" s="192"/>
      <c r="W328" s="190"/>
      <c r="X328" s="190"/>
      <c r="Y328" s="191"/>
      <c r="Z328" s="192"/>
      <c r="AA328" s="190"/>
      <c r="AB328" s="190"/>
      <c r="AC328" s="191"/>
      <c r="AD328" s="192"/>
      <c r="AE328" s="190" t="s">
        <v>118</v>
      </c>
      <c r="AF328" s="190" t="s">
        <v>117</v>
      </c>
      <c r="AG328" s="191" t="s">
        <v>26</v>
      </c>
      <c r="AH328" s="193"/>
      <c r="AI328" s="190" t="s">
        <v>118</v>
      </c>
      <c r="AJ328" s="190" t="s">
        <v>117</v>
      </c>
      <c r="AK328" s="374" t="s">
        <v>26</v>
      </c>
      <c r="AL328" s="348" t="s">
        <v>151</v>
      </c>
      <c r="AM328" s="354"/>
      <c r="AN328" s="354"/>
      <c r="AO328" s="354"/>
      <c r="AP328" s="354">
        <f>IF(SUM(Q320:Q328)=SUM(AE320:AE328,AI320:AI328), 0, SUM(Q320:Q328)-SUM(AE320:AE328,AI320:AI328))</f>
        <v>0</v>
      </c>
      <c r="AQ328" s="350">
        <f>AM328+AN328+AO328+AP328</f>
        <v>0</v>
      </c>
      <c r="AR328" s="769"/>
      <c r="AS328" s="769"/>
      <c r="AT328" s="769"/>
      <c r="AW328"/>
      <c r="AX328"/>
      <c r="AY328" s="280"/>
      <c r="AZ328"/>
      <c r="BA328"/>
      <c r="BB328"/>
      <c r="BC328"/>
      <c r="BD328"/>
      <c r="BE328"/>
      <c r="BF328"/>
      <c r="BG328" s="280"/>
      <c r="BH328"/>
      <c r="BI328"/>
      <c r="BJ328"/>
      <c r="BK328"/>
      <c r="BL328"/>
      <c r="BM328"/>
      <c r="BN328"/>
      <c r="BO328"/>
    </row>
    <row r="329" spans="1:67" ht="22" customHeight="1">
      <c r="A329" s="181">
        <f t="shared" ref="A329:A392" si="121">$A328</f>
        <v>45292</v>
      </c>
      <c r="B329" s="232" t="s">
        <v>74</v>
      </c>
      <c r="C329" s="233" t="s">
        <v>75</v>
      </c>
      <c r="D329" s="234" t="s">
        <v>76</v>
      </c>
      <c r="E329" s="235" t="s">
        <v>11</v>
      </c>
      <c r="F329" s="235" t="s">
        <v>4</v>
      </c>
      <c r="G329" s="235" t="s">
        <v>5</v>
      </c>
      <c r="H329" s="235" t="s">
        <v>6</v>
      </c>
      <c r="I329" s="236" t="s">
        <v>77</v>
      </c>
      <c r="J329" s="479"/>
      <c r="K329" s="501" t="str">
        <f t="shared" si="102"/>
        <v/>
      </c>
      <c r="L329" s="479" t="str">
        <f>IFERROR(VLOOKUP(B330,'Aktuelle Einnahmen'!A2:J104,10,0),"")</f>
        <v/>
      </c>
      <c r="M329" s="512" t="str">
        <f>M319</f>
        <v>Stufe C</v>
      </c>
      <c r="N329" s="237"/>
      <c r="O329" s="238"/>
      <c r="P329" s="238"/>
      <c r="Q329" s="239"/>
      <c r="R329" s="240"/>
      <c r="S329" s="241"/>
      <c r="T329" s="241"/>
      <c r="U329" s="242"/>
      <c r="V329" s="243"/>
      <c r="W329" s="241"/>
      <c r="X329" s="241"/>
      <c r="Y329" s="242"/>
      <c r="Z329" s="243"/>
      <c r="AA329" s="241"/>
      <c r="AB329" s="241"/>
      <c r="AC329" s="242"/>
      <c r="AD329" s="243"/>
      <c r="AE329" s="241"/>
      <c r="AF329" s="241"/>
      <c r="AG329" s="242"/>
      <c r="AH329" s="240"/>
      <c r="AI329" s="241"/>
      <c r="AJ329" s="241"/>
      <c r="AK329" s="377"/>
      <c r="AL329" s="347"/>
      <c r="AM329" s="353"/>
      <c r="AN329" s="353"/>
      <c r="AO329" s="353"/>
      <c r="AP329" s="353"/>
      <c r="AQ329" s="349"/>
      <c r="AR329" s="768"/>
      <c r="AS329" s="768"/>
      <c r="AT329" s="768"/>
      <c r="AW329"/>
      <c r="AX329"/>
      <c r="AY329" s="280"/>
      <c r="AZ329"/>
      <c r="BA329"/>
      <c r="BB329"/>
      <c r="BC329"/>
      <c r="BD329"/>
      <c r="BE329"/>
      <c r="BF329"/>
      <c r="BG329" s="280"/>
      <c r="BH329"/>
      <c r="BI329"/>
      <c r="BJ329"/>
      <c r="BK329"/>
      <c r="BL329"/>
      <c r="BM329"/>
      <c r="BN329"/>
      <c r="BO329"/>
    </row>
    <row r="330" spans="1:67" ht="23" customHeight="1">
      <c r="A330" s="181">
        <f t="shared" si="121"/>
        <v>45292</v>
      </c>
      <c r="B330" s="182">
        <v>33</v>
      </c>
      <c r="C330" s="245">
        <f>IFERROR(VLOOKUP($B330,'Aktuelle Einnahmen'!A2:G104,3,0),"")</f>
        <v>0</v>
      </c>
      <c r="D330" s="246">
        <f>IFERROR(VLOOKUP($B330,'Aktuelle Einnahmen'!A2:G104,2,0),"")</f>
        <v>0</v>
      </c>
      <c r="E330" s="247">
        <f>IFERROR(VLOOKUP($B330,'Aktuelle Einnahmen'!A2:G104,4,0),"")</f>
        <v>0</v>
      </c>
      <c r="F330" s="94">
        <f>IFERROR(VLOOKUP($B330,'Aktuelle Einnahmen'!A2:G104,5,0),"")</f>
        <v>0</v>
      </c>
      <c r="G330" s="94">
        <f>IFERROR(VLOOKUP($B330,'Aktuelle Einnahmen'!A2:G104,6,0),"")</f>
        <v>0</v>
      </c>
      <c r="H330" s="94">
        <f>IFERROR(VLOOKUP($B330,'Aktuelle Einnahmen'!A2:G104,7,0),"")</f>
        <v>0</v>
      </c>
      <c r="I330" s="186" t="e">
        <f>DATE(H330,G330,F330)</f>
        <v>#NUM!</v>
      </c>
      <c r="J330" s="472">
        <f ca="1">J320</f>
        <v>45475</v>
      </c>
      <c r="K330" s="506" t="str">
        <f t="shared" si="102"/>
        <v>+Inflat.-P</v>
      </c>
      <c r="L330" s="1262" t="str">
        <f>IFERROR(VLOOKUP(B330,'Aktuelle Einnahmen'!A12:I114,9,0),"")</f>
        <v>Auswahl treffen</v>
      </c>
      <c r="M330" s="1263"/>
      <c r="N330" s="261"/>
      <c r="O330" s="261"/>
      <c r="P330" s="261"/>
      <c r="Q330" s="261"/>
      <c r="R330" s="189"/>
      <c r="S330" s="190"/>
      <c r="T330" s="190"/>
      <c r="U330" s="191"/>
      <c r="V330" s="192"/>
      <c r="W330" s="190"/>
      <c r="X330" s="190"/>
      <c r="Y330" s="191"/>
      <c r="Z330" s="192"/>
      <c r="AA330" s="190"/>
      <c r="AB330" s="190"/>
      <c r="AC330" s="191"/>
      <c r="AD330" s="192"/>
      <c r="AE330" s="190"/>
      <c r="AF330" s="190"/>
      <c r="AG330" s="191"/>
      <c r="AH330" s="193"/>
      <c r="AI330" s="190"/>
      <c r="AJ330" s="190"/>
      <c r="AK330" s="374"/>
      <c r="AL330" s="348"/>
      <c r="AM330" s="354"/>
      <c r="AN330" s="354"/>
      <c r="AO330" s="354"/>
      <c r="AP330" s="354"/>
      <c r="AQ330" s="350"/>
      <c r="AR330" s="769"/>
      <c r="AS330" s="769"/>
      <c r="AT330" s="769"/>
      <c r="AW330"/>
      <c r="AX330"/>
      <c r="AY330" s="280"/>
      <c r="AZ330"/>
      <c r="BA330"/>
      <c r="BB330"/>
      <c r="BC330"/>
      <c r="BD330"/>
      <c r="BE330"/>
      <c r="BF330"/>
      <c r="BG330" s="280"/>
      <c r="BH330"/>
      <c r="BI330"/>
      <c r="BJ330"/>
      <c r="BK330"/>
      <c r="BL330"/>
      <c r="BM330"/>
      <c r="BN330"/>
      <c r="BO330"/>
    </row>
    <row r="331" spans="1:67" ht="22.25" customHeight="1">
      <c r="A331" s="181">
        <f t="shared" si="121"/>
        <v>45292</v>
      </c>
      <c r="B331" s="484" t="e">
        <f>DAY(I330)</f>
        <v>#NUM!</v>
      </c>
      <c r="C331" s="489" t="s">
        <v>158</v>
      </c>
      <c r="D331" s="520" t="e">
        <f>(I331*4)+J331/3+1</f>
        <v>#NUM!</v>
      </c>
      <c r="E331" s="194" t="e">
        <f>J333+1</f>
        <v>#NUM!</v>
      </c>
      <c r="F331" s="195" t="e">
        <f t="shared" ref="F331:F338" si="122">DAY(E331)</f>
        <v>#NUM!</v>
      </c>
      <c r="G331" s="196" t="e">
        <f t="shared" ref="G331:G338" si="123">MONTH(E331)</f>
        <v>#NUM!</v>
      </c>
      <c r="H331" s="195" t="e">
        <f t="shared" ref="H331:H338" si="124">YEAR(E331)</f>
        <v>#NUM!</v>
      </c>
      <c r="I331" s="197" t="e">
        <f>H331-(H330+2000)</f>
        <v>#NUM!</v>
      </c>
      <c r="J331" s="198" t="e">
        <f>G331-G330</f>
        <v>#NUM!</v>
      </c>
      <c r="K331" s="506" t="str">
        <f>L329</f>
        <v/>
      </c>
      <c r="L331" s="469"/>
      <c r="M331" s="473" t="e">
        <f ca="1">SUM(J330-E332)&amp;" Tage"</f>
        <v>#NUM!</v>
      </c>
      <c r="N331" s="206"/>
      <c r="O331" s="201"/>
      <c r="P331" s="201"/>
      <c r="Q331" s="202"/>
      <c r="R331" s="189"/>
      <c r="S331" s="203"/>
      <c r="T331" s="203"/>
      <c r="U331" s="204"/>
      <c r="V331" s="192"/>
      <c r="W331" s="203"/>
      <c r="X331" s="203"/>
      <c r="Y331" s="204"/>
      <c r="Z331" s="192"/>
      <c r="AA331" s="203"/>
      <c r="AB331" s="203"/>
      <c r="AC331" s="204"/>
      <c r="AD331" s="192"/>
      <c r="AE331" s="203"/>
      <c r="AF331" s="203"/>
      <c r="AG331" s="204"/>
      <c r="AH331" s="193"/>
      <c r="AI331" s="203"/>
      <c r="AJ331" s="203"/>
      <c r="AK331" s="375"/>
      <c r="AL331" s="348"/>
      <c r="AM331" s="354"/>
      <c r="AN331" s="354"/>
      <c r="AO331" s="354"/>
      <c r="AP331" s="354"/>
      <c r="AQ331" s="350"/>
      <c r="AR331" s="769"/>
      <c r="AS331" s="769"/>
      <c r="AT331" s="769"/>
      <c r="AW331"/>
      <c r="AX331"/>
      <c r="AY331" s="280"/>
      <c r="AZ331"/>
      <c r="BA331"/>
      <c r="BB331"/>
      <c r="BC331"/>
      <c r="BD331"/>
      <c r="BE331"/>
      <c r="BF331"/>
      <c r="BG331" s="280"/>
      <c r="BH331"/>
      <c r="BI331"/>
      <c r="BJ331"/>
      <c r="BK331"/>
      <c r="BL331"/>
      <c r="BM331"/>
      <c r="BN331"/>
      <c r="BO331"/>
    </row>
    <row r="332" spans="1:67" ht="22.25" customHeight="1">
      <c r="A332" s="181">
        <f t="shared" si="121"/>
        <v>45292</v>
      </c>
      <c r="B332" s="485"/>
      <c r="C332" s="490"/>
      <c r="D332" s="521"/>
      <c r="E332" s="194" t="e">
        <f>DATE(YEAR(E331),MONTH(E331)+3,DAY(E331)-1)</f>
        <v>#NUM!</v>
      </c>
      <c r="F332" s="195" t="e">
        <f t="shared" si="122"/>
        <v>#NUM!</v>
      </c>
      <c r="G332" s="196" t="e">
        <f t="shared" si="123"/>
        <v>#NUM!</v>
      </c>
      <c r="H332" s="195" t="e">
        <f t="shared" si="124"/>
        <v>#NUM!</v>
      </c>
      <c r="I332" s="244">
        <v>-1</v>
      </c>
      <c r="J332" s="198" t="e">
        <f>F331-F330</f>
        <v>#NUM!</v>
      </c>
      <c r="K332" s="506" t="str">
        <f t="shared" si="102"/>
        <v>+Inflat.-P</v>
      </c>
      <c r="L332" s="511" t="e">
        <f>IF(M329="Stufe A",IF(AND(L330="Auswahl treffen",D331&gt;=0,D331&lt;=1000),J329,IF(AND(L330="Vermögend und ambulant",D331&gt;8,D331&lt;=1000),130,IF(AND(L330="Vermögend und ambulant",D331&gt;4,D331&lt;=8),158,IF(AND(L330="Vermögend und ambulant",D331&gt;2,D331&lt;=4),192,IF(AND(L330="Vermögend und ambulant",D331&gt;1,D331&lt;=2),208,IF(AND(L330="Vermögend und ambulant",D331&gt;0,D331&lt;=1),298,IF(AND(L330="Vermögend und stationär",D331&gt;8,D331&lt;=1000),78,IF(AND(L330="Vermögend und stationär",D331&gt;4,D331&lt;=8),91,IF(AND(L330="Vermögend und stationär",D331&gt;2,D331&lt;=4),140,IF(AND(L330="Vermögend und stationär",D331&gt;1,D331&lt;=2),158,IF(AND(L330="Vermögend und stationär",D331&gt;0,D331&lt;=1),200,IF(AND(L330="Mittellos und ambulant",D331&gt;8,D331&lt;=1000),105,IF(AND(L330="Mittellos und ambulant",D331&gt;4,D331&lt;=8),122,IF(AND(L330="Mittellos und ambulant",D331&gt;2,D331&lt;=4),151,IF(AND(L330="Mittellos und ambulant",D331&gt;1,D331&lt;=2),170,IF(AND(L330="Mittellos und ambulant",D331&gt;0,D331&lt;=1),208,IF(AND(L330="Mittellos und stationär",D331&gt;8,D331&lt;=1000),62,IF(AND(L330="Mittellos und stationär",D331&gt;4,D331&lt;=8),87,IF(AND(L330="Mittellos und stationär",D331&gt;2,D331&lt;=4),124,IF(AND(L330="Mittellos und stationär",D331&gt;1,D331&lt;=2),129,IF(AND(L330="Mittellos und stationär",D331&gt;0,D331&lt;=1),194,""))))))))))))))))))))),IF(M329="Stufe B",IF(AND(L330="Auswahl treffen",D331&gt;=0,D331&lt;=1000),J329,IF(AND(L330="Vermögend und ambulant",D331&gt;8,D331&lt;=1000),161,IF(AND(L330="Vermögend und ambulant",D331&gt;4,D331&lt;=8),196,IF(AND(L330="Vermögend und ambulant",D331&gt;2,D331&lt;=4),238,IF(AND(L330="Vermögend und ambulant",D331&gt;1,D331&lt;=2),258,IF(AND(L330="Vermögend und ambulant",D331&gt;0,D331&lt;=1),370,IF(AND(L330="Vermögend und stationär",D331&gt;8,D331&lt;=1000),96,IF(AND(L330="Vermögend und stationär",D331&gt;4,D331&lt;=8),113,IF(AND(L330="Vermögend und stationär",D331&gt;2,D331&lt;=4),174,IF(AND(L330="Vermögend und stationär",D331&gt;1,D331&lt;=2),196,IF(AND(L330="Vermögend und stationär",D331&gt;0,D331&lt;=1),249,IF(AND(L330="Mittellos und ambulant",D331&gt;8,D331&lt;=1000),130,IF(AND(L330="Mittellos und ambulant",D331&gt;4,D331&lt;=8),151,IF(AND(L330="Mittellos und ambulant",D331&gt;2,D331&lt;=4),188,IF(AND(L330="Mittellos und ambulant",D331&gt;1,D331&lt;=2),211,IF(AND(L330="Mittellos und ambulant",D331&gt;0,D331&lt;=1),258,IF(AND(L330="Mittellos und stationär",D331&gt;8,D331&lt;=1000),78,IF(AND(L330="Mittellos und stationär",D331&gt;4,D331&lt;=8),107,IF(AND(L330="Mittellos und stationär",D331&gt;2,D331&lt;=4),154,IF(AND(L330="Mittellos und stationär",D331&gt;1,D331&lt;=2),158,IF(AND(L330="Mittellos und stationär",D331&gt;0,D331&lt;=1),241,""))))))))))))))))))))),IF(M329="Stufe C",IF(AND(L330="Auswahl treffen",D331&gt;=0,D331&lt;=1000),J329,IF(AND(L330="Vermögend und ambulant",D331&gt;8,D331&lt;=1000),211,IF(AND(L330="Vermögend und ambulant",D331&gt;4,D331&lt;=8),257,IF(AND(L330="Vermögend und ambulant",D331&gt;2,D331&lt;=4),312,IF(AND(L330="Vermögend und ambulant",D331&gt;1,D331&lt;=2),339,IF(AND(L330="Vermögend und ambulant",D331&gt;0,D331&lt;=1),486,IF(AND(L330="Vermögend und stationär",D331&gt;8,D331&lt;=1000),127,IF(AND(L330="Vermögend und stationär",D331&gt;4,D331&lt;=8),149,IF(AND(L330="Vermögend und stationär",D331&gt;2,D331&lt;=4),229,IF(AND(L330="Vermögend und stationär",D331&gt;1,D331&lt;=2),257,IF(AND(L330="Vermögend und stationär",D331&gt;0,D331&lt;=1),327,IF(AND(L330="Mittellos und ambulant",D331&gt;8,D331&lt;=1000),171,IF(AND(L330="Mittellos und ambulant",D331&gt;4,D331&lt;=8),198,IF(AND(L330="Mittellos und ambulant",D331&gt;2,D331&lt;=4),246,IF(AND(L330="Mittellos und ambulant",D331&gt;1,D331&lt;=2),277,IF(AND(L330="Mittellos und ambulant",D331&gt;0,D331&lt;=1),339,IF(AND(L330="Mittellos und stationär",D331&gt;8,D331&lt;=1000),102,IF(AND(L330="Mittellos und stationär",D331&gt;4,D331&lt;=8),141,IF(AND(L330="Mittellos und stationär",D331&gt;2,D331&lt;=4),202,IF(AND(L330="Mittellos und stationär",D331&gt;1,D331&lt;=2),208,IF(AND(L330="Mittellos und stationär",D331&gt;0,D331&lt;=1),317,""))))))))))))))))))))),"")))*3+(J329*90)</f>
        <v>#NUM!</v>
      </c>
      <c r="M332" s="507" t="str">
        <f>CONCATENATE(K332, K331)</f>
        <v>+Inflat.-P</v>
      </c>
      <c r="N332" s="206" t="s">
        <v>118</v>
      </c>
      <c r="O332" s="207"/>
      <c r="P332" s="207"/>
      <c r="Q332" s="208"/>
      <c r="R332" s="187"/>
      <c r="S332" s="209" t="s">
        <v>118</v>
      </c>
      <c r="T332" s="201" t="s">
        <v>117</v>
      </c>
      <c r="U332" s="210" t="s">
        <v>26</v>
      </c>
      <c r="V332" s="192"/>
      <c r="W332" s="203"/>
      <c r="X332" s="203"/>
      <c r="Y332" s="210"/>
      <c r="Z332" s="192"/>
      <c r="AA332" s="203"/>
      <c r="AB332" s="203"/>
      <c r="AC332" s="210"/>
      <c r="AD332" s="192"/>
      <c r="AE332" s="203"/>
      <c r="AF332" s="203"/>
      <c r="AG332" s="210"/>
      <c r="AH332" s="193"/>
      <c r="AI332" s="203"/>
      <c r="AJ332" s="203"/>
      <c r="AK332" s="376"/>
      <c r="AL332" s="348" t="s">
        <v>148</v>
      </c>
      <c r="AM332" s="354">
        <f>IF(SUM(N330:N338)=SUM(S330:S338), 0, SUM(N330:N338)-SUM(S330:S338))</f>
        <v>0</v>
      </c>
      <c r="AN332" s="354"/>
      <c r="AO332" s="354"/>
      <c r="AP332" s="354"/>
      <c r="AQ332" s="350">
        <f>AM332+AN332+AO332+AP332</f>
        <v>0</v>
      </c>
      <c r="AR332" s="769"/>
      <c r="AS332" s="769"/>
      <c r="AT332" s="769"/>
      <c r="AW332"/>
      <c r="AX332"/>
      <c r="AY332" s="280"/>
      <c r="AZ332"/>
      <c r="BA332"/>
      <c r="BB332"/>
      <c r="BC332"/>
      <c r="BD332"/>
      <c r="BE332"/>
      <c r="BF332"/>
      <c r="BG332" s="280"/>
      <c r="BH332"/>
      <c r="BI332"/>
      <c r="BJ332"/>
      <c r="BK332"/>
      <c r="BL332"/>
      <c r="BM332"/>
      <c r="BN332"/>
      <c r="BO332"/>
    </row>
    <row r="333" spans="1:67" ht="22.25" customHeight="1">
      <c r="A333" s="181">
        <f t="shared" si="121"/>
        <v>45292</v>
      </c>
      <c r="B333" s="484" t="e">
        <f>MONTH(I330)</f>
        <v>#NUM!</v>
      </c>
      <c r="C333" s="489" t="s">
        <v>158</v>
      </c>
      <c r="D333" s="522" t="e">
        <f>D331+1</f>
        <v>#NUM!</v>
      </c>
      <c r="E333" s="211" t="e">
        <f>DATE(YEAR(E332),MONTH(E332),DAY(E332)+1)</f>
        <v>#NUM!</v>
      </c>
      <c r="F333" s="212" t="e">
        <f t="shared" si="122"/>
        <v>#NUM!</v>
      </c>
      <c r="G333" s="213" t="e">
        <f t="shared" si="123"/>
        <v>#NUM!</v>
      </c>
      <c r="H333" s="212" t="e">
        <f t="shared" si="124"/>
        <v>#NUM!</v>
      </c>
      <c r="I333" s="214" t="str">
        <f>IF(D330&lt;&gt;0,"-1T","")</f>
        <v/>
      </c>
      <c r="J333" s="215" t="e">
        <f>DATE($B335,I334,$B331)</f>
        <v>#NUM!</v>
      </c>
      <c r="K333" s="501" t="str">
        <f t="shared" si="102"/>
        <v/>
      </c>
      <c r="L333" s="470"/>
      <c r="M333" s="473" t="e">
        <f ca="1">SUM(J330-E334)&amp;" Tage"</f>
        <v>#NUM!</v>
      </c>
      <c r="N333" s="216"/>
      <c r="O333" s="217"/>
      <c r="P333" s="188"/>
      <c r="Q333" s="217"/>
      <c r="R333" s="189"/>
      <c r="S333" s="190"/>
      <c r="T333" s="190"/>
      <c r="U333" s="191"/>
      <c r="V333" s="192"/>
      <c r="W333" s="190"/>
      <c r="X333" s="190"/>
      <c r="Y333" s="191"/>
      <c r="Z333" s="192"/>
      <c r="AA333" s="190"/>
      <c r="AB333" s="190"/>
      <c r="AC333" s="191"/>
      <c r="AD333" s="192"/>
      <c r="AE333" s="190"/>
      <c r="AF333" s="190"/>
      <c r="AG333" s="191"/>
      <c r="AH333" s="193"/>
      <c r="AI333" s="190"/>
      <c r="AJ333" s="190"/>
      <c r="AK333" s="374"/>
      <c r="AL333" s="348"/>
      <c r="AM333" s="354"/>
      <c r="AN333" s="354"/>
      <c r="AO333" s="354"/>
      <c r="AP333" s="354"/>
      <c r="AQ333" s="350"/>
      <c r="AR333" s="769"/>
      <c r="AS333" s="769"/>
      <c r="AT333" s="769"/>
      <c r="AW333"/>
      <c r="AX333"/>
      <c r="AY333" s="280"/>
      <c r="AZ333"/>
      <c r="BA333"/>
      <c r="BB333"/>
      <c r="BC333"/>
      <c r="BD333"/>
      <c r="BE333"/>
      <c r="BF333"/>
      <c r="BG333" s="280"/>
      <c r="BH333"/>
      <c r="BI333"/>
      <c r="BJ333"/>
      <c r="BK333"/>
      <c r="BL333"/>
      <c r="BM333"/>
      <c r="BN333"/>
      <c r="BO333"/>
    </row>
    <row r="334" spans="1:67" ht="22.25" customHeight="1">
      <c r="A334" s="181">
        <f t="shared" si="121"/>
        <v>45292</v>
      </c>
      <c r="B334" s="485"/>
      <c r="C334" s="490"/>
      <c r="D334" s="521"/>
      <c r="E334" s="218" t="e">
        <f>DATE(YEAR(E333),MONTH(E333)+3,DAY(E333)-1)</f>
        <v>#NUM!</v>
      </c>
      <c r="F334" s="212" t="e">
        <f t="shared" si="122"/>
        <v>#NUM!</v>
      </c>
      <c r="G334" s="213" t="e">
        <f t="shared" si="123"/>
        <v>#NUM!</v>
      </c>
      <c r="H334" s="212" t="e">
        <f t="shared" si="124"/>
        <v>#NUM!</v>
      </c>
      <c r="I334" s="219">
        <f>MAX(I335:I338)</f>
        <v>9</v>
      </c>
      <c r="J334" s="220" t="e">
        <f>DATE(YEAR(J333)+1,MONTH(J333),DAY(J333))</f>
        <v>#NUM!</v>
      </c>
      <c r="K334" s="501" t="str">
        <f t="shared" ref="K334:K397" si="125">K332</f>
        <v>+Inflat.-P</v>
      </c>
      <c r="L334" s="508" t="e">
        <f>IF(M329="Stufe A",IF(AND(L330="Auswahl treffen",D333&gt;=0,D333&lt;=1000),J329,IF(AND(L330="Vermögend und ambulant",D333&gt;8,D333&lt;=1000),130,IF(AND(L330="Vermögend und ambulant",D333&gt;4,D333&lt;=8),158,IF(AND(L330="Vermögend und ambulant",D333&gt;2,D333&lt;=4),192,IF(AND(L330="Vermögend und ambulant",D333&gt;1,D333&lt;=2),208,IF(AND(L330="Vermögend und ambulant",D333&gt;0,D333&lt;=1),298,IF(AND(L330="Vermögend und stationär",D333&gt;8,D333&lt;=1000),78,IF(AND(L330="Vermögend und stationär",D333&gt;4,D333&lt;=8),91,IF(AND(L330="Vermögend und stationär",D333&gt;2,D333&lt;=4),140,IF(AND(L330="Vermögend und stationär",D333&gt;1,D333&lt;=2),158,IF(AND(L330="Vermögend und stationär",D333&gt;0,D333&lt;=1),200,IF(AND(L330="Mittellos und ambulant",D333&gt;8,D333&lt;=1000),105,IF(AND(L330="Mittellos und ambulant",D333&gt;4,D333&lt;=8),122,IF(AND(L330="Mittellos und ambulant",D333&gt;2,D333&lt;=4),151,IF(AND(L330="Mittellos und ambulant",D333&gt;1,D333&lt;=2),170,IF(AND(L330="Mittellos und ambulant",D333&gt;0,D333&lt;=1),208,IF(AND(L330="Mittellos und stationär",D333&gt;8,D333&lt;=1000),62,IF(AND(L330="Mittellos und stationär",D333&gt;4,D333&lt;=8),87,IF(AND(L330="Mittellos und stationär",D333&gt;2,D333&lt;=4),124,IF(AND(L330="Mittellos und stationär",D333&gt;1,D333&lt;=2),129,IF(AND(L330="Mittellos und stationär",D333&gt;0,D333&lt;=1),194,""))))))))))))))))))))),IF(M329="Stufe B",IF(AND(L330="Auswahl treffen",D333&gt;=0,D333&lt;=1000),J329,IF(AND(L330="Vermögend und ambulant",D333&gt;8,D333&lt;=1000),161,IF(AND(L330="Vermögend und ambulant",D333&gt;4,D333&lt;=8),196,IF(AND(L330="Vermögend und ambulant",D333&gt;2,D333&lt;=4),238,IF(AND(L330="Vermögend und ambulant",D333&gt;1,D333&lt;=2),258,IF(AND(L330="Vermögend und ambulant",D333&gt;0,D333&lt;=1),370,IF(AND(L330="Vermögend und stationär",D333&gt;8,D333&lt;=1000),96,IF(AND(L330="Vermögend und stationär",D333&gt;4,D333&lt;=8),113,IF(AND(L330="Vermögend und stationär",D333&gt;2,D333&lt;=4),174,IF(AND(L330="Vermögend und stationär",D333&gt;1,D333&lt;=2),196,IF(AND(L330="Vermögend und stationär",D333&gt;0,D333&lt;=1),249,IF(AND(L330="Mittellos und ambulant",D333&gt;8,D333&lt;=1000),130,IF(AND(L330="Mittellos und ambulant",D333&gt;4,D333&lt;=8),151,IF(AND(L330="Mittellos und ambulant",D333&gt;2,D333&lt;=4),188,IF(AND(L330="Mittellos und ambulant",D333&gt;1,D333&lt;=2),211,IF(AND(L330="Mittellos und ambulant",D333&gt;0,D333&lt;=1),258,IF(AND(L330="Mittellos und stationär",D333&gt;8,D333&lt;=1000),78,IF(AND(L330="Mittellos und stationär",D333&gt;4,D333&lt;=8),107,IF(AND(L330="Mittellos und stationär",D333&gt;2,D333&lt;=4),154,IF(AND(L330="Mittellos und stationär",D333&gt;1,D333&lt;=2),158,IF(AND(L330="Mittellos und stationär",D333&gt;0,D333&lt;=1),241,""))))))))))))))))))))),IF(M329="Stufe C",IF(AND(L330="Auswahl treffen",D333&gt;=0,D333&lt;=1000),J329,IF(AND(L330="Vermögend und ambulant",D333&gt;8,D333&lt;=1000),211,IF(AND(L330="Vermögend und ambulant",D333&gt;4,D333&lt;=8),257,IF(AND(L330="Vermögend und ambulant",D333&gt;2,D333&lt;=4),312,IF(AND(L330="Vermögend und ambulant",D333&gt;1,D333&lt;=2),339,IF(AND(L330="Vermögend und ambulant",D333&gt;0,D333&lt;=1),486,IF(AND(L330="Vermögend und stationär",D333&gt;8,D333&lt;=1000),127,IF(AND(L330="Vermögend und stationär",D333&gt;4,D333&lt;=8),149,IF(AND(L330="Vermögend und stationär",D333&gt;2,D333&lt;=4),229,IF(AND(L330="Vermögend und stationär",D333&gt;1,D333&lt;=2),257,IF(AND(L330="Vermögend und stationär",D333&gt;0,D333&lt;=1),327,IF(AND(L330="Mittellos und ambulant",D333&gt;8,D333&lt;=1000),171,IF(AND(L330="Mittellos und ambulant",D333&gt;4,D333&lt;=8),198,IF(AND(L330="Mittellos und ambulant",D333&gt;2,D333&lt;=4),246,IF(AND(L330="Mittellos und ambulant",D333&gt;1,D333&lt;=2),277,IF(AND(L330="Mittellos und ambulant",D333&gt;0,D333&lt;=1),339,IF(AND(L330="Mittellos und stationär",D333&gt;8,D333&lt;=1000),102,IF(AND(L330="Mittellos und stationär",D333&gt;4,D333&lt;=8),141,IF(AND(L330="Mittellos und stationär",D333&gt;2,D333&lt;=4),202,IF(AND(L330="Mittellos und stationär",D333&gt;1,D333&lt;=2),208,IF(AND(L330="Mittellos und stationär",D333&gt;0,D333&lt;=1),317,""))))))))))))))))))))),"")))*3+(J329*90)</f>
        <v>#NUM!</v>
      </c>
      <c r="M334" s="507" t="str">
        <f>CONCATENATE(K334, K333)</f>
        <v>+Inflat.-P</v>
      </c>
      <c r="N334" s="216"/>
      <c r="O334" s="188" t="s">
        <v>118</v>
      </c>
      <c r="P334" s="188"/>
      <c r="Q334" s="221"/>
      <c r="R334" s="199"/>
      <c r="S334" s="190"/>
      <c r="T334" s="190"/>
      <c r="U334" s="191"/>
      <c r="V334" s="192"/>
      <c r="W334" s="222" t="s">
        <v>118</v>
      </c>
      <c r="X334" s="222" t="s">
        <v>117</v>
      </c>
      <c r="Y334" s="191" t="s">
        <v>26</v>
      </c>
      <c r="Z334" s="192"/>
      <c r="AA334" s="190"/>
      <c r="AB334" s="190"/>
      <c r="AC334" s="191"/>
      <c r="AD334" s="192"/>
      <c r="AE334" s="190"/>
      <c r="AF334" s="190"/>
      <c r="AG334" s="191"/>
      <c r="AH334" s="193"/>
      <c r="AI334" s="190"/>
      <c r="AJ334" s="190"/>
      <c r="AK334" s="374"/>
      <c r="AL334" s="348" t="s">
        <v>149</v>
      </c>
      <c r="AM334" s="354"/>
      <c r="AN334" s="354">
        <f>IF(SUM(O330:O338)=SUM(W330:W338), 0, SUM(O330:O338)-SUM(W330:W338))</f>
        <v>0</v>
      </c>
      <c r="AO334" s="354"/>
      <c r="AP334" s="354"/>
      <c r="AQ334" s="350">
        <f>AM334+AN334+AO334+AP334</f>
        <v>0</v>
      </c>
      <c r="AR334" s="769"/>
      <c r="AS334" s="769"/>
      <c r="AT334" s="769"/>
      <c r="AW334"/>
      <c r="AX334"/>
      <c r="AY334" s="280"/>
      <c r="AZ334"/>
      <c r="BA334"/>
      <c r="BB334"/>
      <c r="BC334"/>
      <c r="BD334"/>
      <c r="BE334"/>
      <c r="BF334"/>
      <c r="BG334" s="280"/>
      <c r="BH334"/>
      <c r="BI334"/>
      <c r="BJ334"/>
      <c r="BK334"/>
      <c r="BL334"/>
      <c r="BM334"/>
      <c r="BN334"/>
      <c r="BO334"/>
    </row>
    <row r="335" spans="1:67" ht="22.25" customHeight="1">
      <c r="A335" s="181">
        <f t="shared" si="121"/>
        <v>45292</v>
      </c>
      <c r="B335" s="484">
        <f>YEAR($A336)-1</f>
        <v>2023</v>
      </c>
      <c r="C335" s="489" t="s">
        <v>158</v>
      </c>
      <c r="D335" s="520" t="e">
        <f>D333+1</f>
        <v>#NUM!</v>
      </c>
      <c r="E335" s="194" t="e">
        <f>DATE(YEAR(E334),MONTH(E334),DAY(E334)+1)</f>
        <v>#NUM!</v>
      </c>
      <c r="F335" s="195" t="e">
        <f t="shared" si="122"/>
        <v>#NUM!</v>
      </c>
      <c r="G335" s="196" t="e">
        <f t="shared" si="123"/>
        <v>#NUM!</v>
      </c>
      <c r="H335" s="195" t="e">
        <f t="shared" si="124"/>
        <v>#NUM!</v>
      </c>
      <c r="I335" s="197">
        <f>IF(J337&lt;13,J337,"")</f>
        <v>9</v>
      </c>
      <c r="J335" s="224">
        <f>G330</f>
        <v>0</v>
      </c>
      <c r="K335" s="506" t="str">
        <f t="shared" si="125"/>
        <v/>
      </c>
      <c r="L335" s="471"/>
      <c r="M335" s="473" t="e">
        <f ca="1">SUM(J330-E336)&amp;" Tage"</f>
        <v>#NUM!</v>
      </c>
      <c r="N335" s="200"/>
      <c r="O335" s="201"/>
      <c r="P335" s="201"/>
      <c r="Q335" s="202"/>
      <c r="R335" s="189"/>
      <c r="S335" s="203"/>
      <c r="T335" s="203"/>
      <c r="U335" s="204"/>
      <c r="V335" s="192"/>
      <c r="W335" s="203"/>
      <c r="X335" s="203"/>
      <c r="Y335" s="204"/>
      <c r="Z335" s="192"/>
      <c r="AA335" s="203"/>
      <c r="AB335" s="203"/>
      <c r="AC335" s="204"/>
      <c r="AD335" s="192"/>
      <c r="AE335" s="203"/>
      <c r="AF335" s="203"/>
      <c r="AG335" s="204"/>
      <c r="AH335" s="193"/>
      <c r="AI335" s="203"/>
      <c r="AJ335" s="203"/>
      <c r="AK335" s="375"/>
      <c r="AL335" s="348"/>
      <c r="AM335" s="354"/>
      <c r="AN335" s="354"/>
      <c r="AO335" s="354"/>
      <c r="AP335" s="354"/>
      <c r="AQ335" s="350"/>
      <c r="AR335" s="769"/>
      <c r="AS335" s="769"/>
      <c r="AT335" s="769"/>
      <c r="AW335"/>
      <c r="AX335"/>
      <c r="AY335" s="280"/>
      <c r="AZ335"/>
      <c r="BA335"/>
      <c r="BB335"/>
      <c r="BC335"/>
      <c r="BD335"/>
      <c r="BE335"/>
      <c r="BF335"/>
      <c r="BG335" s="280"/>
      <c r="BH335"/>
      <c r="BI335"/>
      <c r="BJ335"/>
      <c r="BK335"/>
      <c r="BL335"/>
      <c r="BM335"/>
      <c r="BN335"/>
      <c r="BO335"/>
    </row>
    <row r="336" spans="1:67" ht="22.25" customHeight="1">
      <c r="A336" s="181">
        <f t="shared" si="121"/>
        <v>45292</v>
      </c>
      <c r="B336" s="485"/>
      <c r="C336" s="490"/>
      <c r="D336" s="521"/>
      <c r="E336" s="194" t="e">
        <f>DATE(YEAR(E335),MONTH(E335)+3,DAY(E335)-1)</f>
        <v>#NUM!</v>
      </c>
      <c r="F336" s="195" t="e">
        <f t="shared" si="122"/>
        <v>#NUM!</v>
      </c>
      <c r="G336" s="196" t="e">
        <f t="shared" si="123"/>
        <v>#NUM!</v>
      </c>
      <c r="H336" s="195" t="e">
        <f t="shared" si="124"/>
        <v>#NUM!</v>
      </c>
      <c r="I336" s="244">
        <f>IF(J338&lt;13,J338,"")</f>
        <v>6</v>
      </c>
      <c r="J336" s="224">
        <f>J335+3</f>
        <v>3</v>
      </c>
      <c r="K336" s="501" t="str">
        <f t="shared" si="125"/>
        <v>+Inflat.-P</v>
      </c>
      <c r="L336" s="511" t="e">
        <f>IF(M329="Stufe A",IF(AND(L330="Auswahl treffen",D335&gt;=0,D335&lt;=1000),J329,IF(AND(L330="Vermögend und ambulant",D335&gt;8,D335&lt;=1000),130,IF(AND(L330="Vermögend und ambulant",D335&gt;4,D335&lt;=8),158,IF(AND(L330="Vermögend und ambulant",D335&gt;2,D335&lt;=4),192,IF(AND(L330="Vermögend und ambulant",D335&gt;1,D335&lt;=2),208,IF(AND(L330="Vermögend und ambulant",D335&gt;0,D335&lt;=1),298,IF(AND(L330="Vermögend und stationär",D335&gt;8,D335&lt;=1000),78,IF(AND(L330="Vermögend und stationär",D335&gt;4,D335&lt;=8),91,IF(AND(L330="Vermögend und stationär",D335&gt;2,D335&lt;=4),140,IF(AND(L330="Vermögend und stationär",D335&gt;1,D335&lt;=2),158,IF(AND(L330="Vermögend und stationär",D335&gt;0,D335&lt;=1),200,IF(AND(L330="Mittellos und ambulant",D335&gt;8,D335&lt;=1000),105,IF(AND(L330="Mittellos und ambulant",D335&gt;4,D335&lt;=8),122,IF(AND(L330="Mittellos und ambulant",D335&gt;2,D335&lt;=4),151,IF(AND(L330="Mittellos und ambulant",D335&gt;1,D335&lt;=2),170,IF(AND(L330="Mittellos und ambulant",D335&gt;0,D335&lt;=1),208,IF(AND(L330="Mittellos und stationär",D335&gt;8,D335&lt;=1000),62,IF(AND(L330="Mittellos und stationär",D335&gt;4,D335&lt;=8),87,IF(AND(L330="Mittellos und stationär",D335&gt;2,D335&lt;=4),124,IF(AND(L330="Mittellos und stationär",D335&gt;1,D335&lt;=2),129,IF(AND(L330="Mittellos und stationär",D335&gt;0,D335&lt;=1),194,""))))))))))))))))))))),IF(M329="Stufe B",IF(AND(L330="Auswahl treffen",D335&gt;=0,D335&lt;=1000),J329,IF(AND(L330="Vermögend und ambulant",D335&gt;8,D335&lt;=1000),161,IF(AND(L330="Vermögend und ambulant",D335&gt;4,D335&lt;=8),196,IF(AND(L330="Vermögend und ambulant",D335&gt;2,D335&lt;=4),238,IF(AND(L330="Vermögend und ambulant",D335&gt;1,D335&lt;=2),258,IF(AND(L330="Vermögend und ambulant",D335&gt;0,D335&lt;=1),370,IF(AND(L330="Vermögend und stationär",D335&gt;8,D335&lt;=1000),96,IF(AND(L330="Vermögend und stationär",D335&gt;4,D335&lt;=8),113,IF(AND(L330="Vermögend und stationär",D335&gt;2,D335&lt;=4),174,IF(AND(L330="Vermögend und stationär",D335&gt;1,D335&lt;=2),196,IF(AND(L330="Vermögend und stationär",D335&gt;0,D335&lt;=1),249,IF(AND(L330="Mittellos und ambulant",D335&gt;8,D335&lt;=1000),130,IF(AND(L330="Mittellos und ambulant",D335&gt;4,D335&lt;=8),151,IF(AND(L330="Mittellos und ambulant",D335&gt;2,D335&lt;=4),188,IF(AND(L330="Mittellos und ambulant",D335&gt;1,D335&lt;=2),211,IF(AND(L330="Mittellos und ambulant",D335&gt;0,D335&lt;=1),258,IF(AND(L330="Mittellos und stationär",D335&gt;8,D335&lt;=1000),78,IF(AND(L330="Mittellos und stationär",D335&gt;4,D335&lt;=8),107,IF(AND(L330="Mittellos und stationär",D335&gt;2,D335&lt;=4),154,IF(AND(L330="Mittellos und stationär",D335&gt;1,D335&lt;=2),158,IF(AND(L330="Mittellos und stationär",D335&gt;0,D335&lt;=1),241,""))))))))))))))))))))),IF(M329="Stufe C",IF(AND(L330="Auswahl treffen",D335&gt;=0,D335&lt;=1000),J329,IF(AND(L330="Vermögend und ambulant",D335&gt;8,D335&lt;=1000),211,IF(AND(L330="Vermögend und ambulant",D335&gt;4,D335&lt;=8),257,IF(AND(L330="Vermögend und ambulant",D335&gt;2,D335&lt;=4),312,IF(AND(L330="Vermögend und ambulant",D335&gt;1,D335&lt;=2),339,IF(AND(L330="Vermögend und ambulant",D335&gt;0,D335&lt;=1),486,IF(AND(L330="Vermögend und stationär",D335&gt;8,D335&lt;=1000),127,IF(AND(L330="Vermögend und stationär",D335&gt;4,D335&lt;=8),149,IF(AND(L330="Vermögend und stationär",D335&gt;2,D335&lt;=4),229,IF(AND(L330="Vermögend und stationär",D335&gt;1,D335&lt;=2),257,IF(AND(L330="Vermögend und stationär",D335&gt;0,D335&lt;=1),327,IF(AND(L330="Mittellos und ambulant",D335&gt;8,D335&lt;=1000),171,IF(AND(L330="Mittellos und ambulant",D335&gt;4,D335&lt;=8),198,IF(AND(L330="Mittellos und ambulant",D335&gt;2,D335&lt;=4),246,IF(AND(L330="Mittellos und ambulant",D335&gt;1,D335&lt;=2),277,IF(AND(L330="Mittellos und ambulant",D335&gt;0,D335&lt;=1),339,IF(AND(L330="Mittellos und stationär",D335&gt;8,D335&lt;=1000),102,IF(AND(L330="Mittellos und stationär",D335&gt;4,D335&lt;=8),141,IF(AND(L330="Mittellos und stationär",D335&gt;2,D335&lt;=4),202,IF(AND(L330="Mittellos und stationär",D335&gt;1,D335&lt;=2),208,IF(AND(L330="Mittellos und stationär",D335&gt;0,D335&lt;=1),317,""))))))))))))))))))))),"")))*3+(J329*90)</f>
        <v>#NUM!</v>
      </c>
      <c r="M336" s="507" t="str">
        <f>CONCATENATE(K336, K335)</f>
        <v>+Inflat.-P</v>
      </c>
      <c r="N336" s="206"/>
      <c r="O336" s="207"/>
      <c r="P336" s="206" t="s">
        <v>118</v>
      </c>
      <c r="Q336" s="226"/>
      <c r="R336" s="189"/>
      <c r="S336" s="203"/>
      <c r="T336" s="203"/>
      <c r="U336" s="204"/>
      <c r="V336" s="192"/>
      <c r="W336" s="203"/>
      <c r="X336" s="203"/>
      <c r="Y336" s="204"/>
      <c r="Z336" s="192"/>
      <c r="AA336" s="209" t="s">
        <v>118</v>
      </c>
      <c r="AB336" s="209" t="s">
        <v>117</v>
      </c>
      <c r="AC336" s="204" t="s">
        <v>26</v>
      </c>
      <c r="AD336" s="192"/>
      <c r="AE336" s="203"/>
      <c r="AF336" s="203"/>
      <c r="AG336" s="204"/>
      <c r="AH336" s="193"/>
      <c r="AI336" s="203"/>
      <c r="AJ336" s="203"/>
      <c r="AK336" s="375"/>
      <c r="AL336" s="348" t="s">
        <v>150</v>
      </c>
      <c r="AM336" s="354"/>
      <c r="AN336" s="354"/>
      <c r="AO336" s="354">
        <f>IF(SUM(P330:P338)=SUM(AA330:AA338), 0, SUM(P330:P338)-SUM(AA330:AA338))</f>
        <v>0</v>
      </c>
      <c r="AP336" s="354"/>
      <c r="AQ336" s="350">
        <f>AM336+AN336+AO336+AP336</f>
        <v>0</v>
      </c>
      <c r="AR336" s="769"/>
      <c r="AS336" s="769"/>
      <c r="AT336" s="769"/>
      <c r="AW336"/>
      <c r="AX336"/>
      <c r="AY336" s="280"/>
      <c r="AZ336"/>
      <c r="BA336"/>
      <c r="BB336"/>
      <c r="BC336"/>
      <c r="BD336"/>
      <c r="BE336"/>
      <c r="BF336"/>
      <c r="BG336" s="280"/>
      <c r="BH336"/>
      <c r="BI336"/>
      <c r="BJ336"/>
      <c r="BK336"/>
      <c r="BL336"/>
      <c r="BM336"/>
      <c r="BN336"/>
      <c r="BO336"/>
    </row>
    <row r="337" spans="1:67" ht="22.25" customHeight="1">
      <c r="A337" s="181">
        <f t="shared" si="121"/>
        <v>45292</v>
      </c>
      <c r="B337" s="486"/>
      <c r="C337" s="489" t="s">
        <v>158</v>
      </c>
      <c r="D337" s="522" t="e">
        <f>D335+1</f>
        <v>#NUM!</v>
      </c>
      <c r="E337" s="211" t="e">
        <f>DATE(YEAR(E336),MONTH(E336),DAY(E336)+1)</f>
        <v>#NUM!</v>
      </c>
      <c r="F337" s="227" t="e">
        <f t="shared" si="122"/>
        <v>#NUM!</v>
      </c>
      <c r="G337" s="228" t="e">
        <f t="shared" si="123"/>
        <v>#NUM!</v>
      </c>
      <c r="H337" s="227" t="e">
        <f t="shared" si="124"/>
        <v>#NUM!</v>
      </c>
      <c r="I337" s="231">
        <f>IF(J336&lt;13,J336,"")</f>
        <v>3</v>
      </c>
      <c r="J337" s="230">
        <f>J338+3</f>
        <v>9</v>
      </c>
      <c r="K337" s="506" t="str">
        <f t="shared" si="125"/>
        <v/>
      </c>
      <c r="L337" s="471"/>
      <c r="M337" s="473" t="e">
        <f ca="1">SUM(J330-E338)&amp;" Tage"</f>
        <v>#NUM!</v>
      </c>
      <c r="N337" s="216"/>
      <c r="O337" s="188"/>
      <c r="P337" s="188"/>
      <c r="Q337" s="217"/>
      <c r="R337" s="189"/>
      <c r="S337" s="190"/>
      <c r="T337" s="190"/>
      <c r="U337" s="191"/>
      <c r="V337" s="192"/>
      <c r="W337" s="190"/>
      <c r="X337" s="190"/>
      <c r="Y337" s="191"/>
      <c r="Z337" s="192"/>
      <c r="AA337" s="190"/>
      <c r="AB337" s="190"/>
      <c r="AC337" s="191"/>
      <c r="AD337" s="192"/>
      <c r="AE337" s="190"/>
      <c r="AF337" s="190"/>
      <c r="AG337" s="191"/>
      <c r="AH337" s="193"/>
      <c r="AI337" s="190"/>
      <c r="AJ337" s="190"/>
      <c r="AK337" s="374"/>
      <c r="AL337" s="348"/>
      <c r="AM337" s="354"/>
      <c r="AN337" s="354"/>
      <c r="AO337" s="354"/>
      <c r="AP337" s="354"/>
      <c r="AQ337" s="350"/>
      <c r="AR337" s="769"/>
      <c r="AS337" s="769"/>
      <c r="AT337" s="769"/>
      <c r="AW337"/>
      <c r="AX337"/>
      <c r="AY337" s="280"/>
      <c r="AZ337"/>
      <c r="BA337"/>
      <c r="BB337"/>
      <c r="BC337"/>
      <c r="BD337"/>
      <c r="BE337"/>
      <c r="BF337"/>
      <c r="BG337" s="280"/>
      <c r="BH337"/>
      <c r="BI337"/>
      <c r="BJ337"/>
      <c r="BK337"/>
      <c r="BL337"/>
      <c r="BM337"/>
      <c r="BN337"/>
      <c r="BO337"/>
    </row>
    <row r="338" spans="1:67" ht="22.25" customHeight="1">
      <c r="A338" s="181">
        <f t="shared" si="121"/>
        <v>45292</v>
      </c>
      <c r="B338" s="485"/>
      <c r="C338" s="490"/>
      <c r="D338" s="521"/>
      <c r="E338" s="218" t="e">
        <f>DATE(YEAR(E337),MONTH(E337)+3,DAY(E337)-1)</f>
        <v>#NUM!</v>
      </c>
      <c r="F338" s="227" t="e">
        <f t="shared" si="122"/>
        <v>#NUM!</v>
      </c>
      <c r="G338" s="228" t="e">
        <f t="shared" si="123"/>
        <v>#NUM!</v>
      </c>
      <c r="H338" s="227" t="e">
        <f t="shared" si="124"/>
        <v>#NUM!</v>
      </c>
      <c r="I338" s="231">
        <f>IF(J335&lt;13,J335,"")</f>
        <v>0</v>
      </c>
      <c r="J338" s="230">
        <f>J336+3</f>
        <v>6</v>
      </c>
      <c r="K338" s="501" t="str">
        <f t="shared" si="125"/>
        <v>+Inflat.-P</v>
      </c>
      <c r="L338" s="508" t="e">
        <f>IF(M329="Stufe A",IF(AND(L330="Auswahl treffen",D337&gt;=0,D337&lt;=1000),J329,IF(AND(L330="Vermögend und ambulant",D337&gt;8,D337&lt;=1000),130,IF(AND(L330="Vermögend und ambulant",D337&gt;4,D337&lt;=8),158,IF(AND(L330="Vermögend und ambulant",D337&gt;2,D337&lt;=4),192,IF(AND(L330="Vermögend und ambulant",D337&gt;1,D337&lt;=2),208,IF(AND(L330="Vermögend und ambulant",D337&gt;0,D337&lt;=1),298,IF(AND(L330="Vermögend und stationär",D337&gt;8,D337&lt;=1000),78,IF(AND(L330="Vermögend und stationär",D337&gt;4,D337&lt;=8),91,IF(AND(L330="Vermögend und stationär",D337&gt;2,D337&lt;=4),140,IF(AND(L330="Vermögend und stationär",D337&gt;1,D337&lt;=2),158,IF(AND(L330="Vermögend und stationär",D337&gt;0,D337&lt;=1),200,IF(AND(L330="Mittellos und ambulant",D337&gt;8,D337&lt;=1000),105,IF(AND(L330="Mittellos und ambulant",D337&gt;4,D337&lt;=8),122,IF(AND(L330="Mittellos und ambulant",D337&gt;2,D337&lt;=4),151,IF(AND(L330="Mittellos und ambulant",D337&gt;1,D337&lt;=2),170,IF(AND(L330="Mittellos und ambulant",D337&gt;0,D337&lt;=1),208,IF(AND(L330="Mittellos und stationär",D337&gt;8,D337&lt;=1000),62,IF(AND(L330="Mittellos und stationär",D337&gt;4,D337&lt;=8),87,IF(AND(L330="Mittellos und stationär",D337&gt;2,D337&lt;=4),124,IF(AND(L330="Mittellos und stationär",D337&gt;1,D337&lt;=2),129,IF(AND(L330="Mittellos und stationär",D337&gt;0,D337&lt;=1),194,""))))))))))))))))))))),IF(M329="Stufe B",IF(AND(L330="Auswahl treffen",D337&gt;=0,D337&lt;=1000),J329,IF(AND(L330="Vermögend und ambulant",D337&gt;8,D337&lt;=1000),161,IF(AND(L330="Vermögend und ambulant",D337&gt;4,D337&lt;=8),196,IF(AND(L330="Vermögend und ambulant",D337&gt;2,D337&lt;=4),238,IF(AND(L330="Vermögend und ambulant",D337&gt;1,D337&lt;=2),258,IF(AND(L330="Vermögend und ambulant",D337&gt;0,D337&lt;=1),370,IF(AND(L330="Vermögend und stationär",D337&gt;8,D337&lt;=1000),96,IF(AND(L330="Vermögend und stationär",D337&gt;4,D337&lt;=8),113,IF(AND(L330="Vermögend und stationär",D337&gt;2,D337&lt;=4),174,IF(AND(L330="Vermögend und stationär",D337&gt;1,D337&lt;=2),196,IF(AND(L330="Vermögend und stationär",D337&gt;0,D337&lt;=1),249,IF(AND(L330="Mittellos und ambulant",D337&gt;8,D337&lt;=1000),130,IF(AND(L330="Mittellos und ambulant",D337&gt;4,D337&lt;=8),151,IF(AND(L330="Mittellos und ambulant",D337&gt;2,D337&lt;=4),188,IF(AND(L330="Mittellos und ambulant",D337&gt;1,D337&lt;=2),211,IF(AND(L330="Mittellos und ambulant",D337&gt;0,D337&lt;=1),258,IF(AND(L330="Mittellos und stationär",D337&gt;8,D337&lt;=1000),78,IF(AND(L330="Mittellos und stationär",D337&gt;4,D337&lt;=8),107,IF(AND(L330="Mittellos und stationär",D337&gt;2,D337&lt;=4),154,IF(AND(L330="Mittellos und stationär",D337&gt;1,D337&lt;=2),158,IF(AND(L330="Mittellos und stationär",D337&gt;0,D337&lt;=1),241,""))))))))))))))))))))),IF(M329="Stufe C",IF(AND(L330="Auswahl treffen",D337&gt;=0,D337&lt;=1000),J329,IF(AND(L330="Vermögend und ambulant",D337&gt;8,D337&lt;=1000),211,IF(AND(L330="Vermögend und ambulant",D337&gt;4,D337&lt;=8),257,IF(AND(L330="Vermögend und ambulant",D337&gt;2,D337&lt;=4),312,IF(AND(L330="Vermögend und ambulant",D337&gt;1,D337&lt;=2),339,IF(AND(L330="Vermögend und ambulant",D337&gt;0,D337&lt;=1),486,IF(AND(L330="Vermögend und stationär",D337&gt;8,D337&lt;=1000),127,IF(AND(L330="Vermögend und stationär",D337&gt;4,D337&lt;=8),149,IF(AND(L330="Vermögend und stationär",D337&gt;2,D337&lt;=4),229,IF(AND(L330="Vermögend und stationär",D337&gt;1,D337&lt;=2),257,IF(AND(L330="Vermögend und stationär",D337&gt;0,D337&lt;=1),327,IF(AND(L330="Mittellos und ambulant",D337&gt;8,D337&lt;=1000),171,IF(AND(L330="Mittellos und ambulant",D337&gt;4,D337&lt;=8),198,IF(AND(L330="Mittellos und ambulant",D337&gt;2,D337&lt;=4),246,IF(AND(L330="Mittellos und ambulant",D337&gt;1,D337&lt;=2),277,IF(AND(L330="Mittellos und ambulant",D337&gt;0,D337&lt;=1),339,IF(AND(L330="Mittellos und stationär",D337&gt;8,D337&lt;=1000),102,IF(AND(L330="Mittellos und stationär",D337&gt;4,D337&lt;=8),141,IF(AND(L330="Mittellos und stationär",D337&gt;2,D337&lt;=4),202,IF(AND(L330="Mittellos und stationär",D337&gt;1,D337&lt;=2),208,IF(AND(L330="Mittellos und stationär",D337&gt;0,D337&lt;=1),317,""))))))))))))))))))))),"")))*3+(J329*90)</f>
        <v>#NUM!</v>
      </c>
      <c r="M338" s="507" t="str">
        <f>CONCATENATE(K338, K337)</f>
        <v>+Inflat.-P</v>
      </c>
      <c r="N338" s="216"/>
      <c r="O338" s="188"/>
      <c r="P338" s="188"/>
      <c r="Q338" s="217" t="s">
        <v>118</v>
      </c>
      <c r="R338" s="189"/>
      <c r="S338" s="190"/>
      <c r="T338" s="190"/>
      <c r="U338" s="191"/>
      <c r="V338" s="192"/>
      <c r="W338" s="190"/>
      <c r="X338" s="190"/>
      <c r="Y338" s="191"/>
      <c r="Z338" s="192"/>
      <c r="AA338" s="190"/>
      <c r="AB338" s="190"/>
      <c r="AC338" s="191"/>
      <c r="AD338" s="192"/>
      <c r="AE338" s="190" t="s">
        <v>118</v>
      </c>
      <c r="AF338" s="190" t="s">
        <v>117</v>
      </c>
      <c r="AG338" s="191" t="s">
        <v>26</v>
      </c>
      <c r="AH338" s="193"/>
      <c r="AI338" s="190" t="s">
        <v>118</v>
      </c>
      <c r="AJ338" s="190" t="s">
        <v>117</v>
      </c>
      <c r="AK338" s="374" t="s">
        <v>26</v>
      </c>
      <c r="AL338" s="348" t="s">
        <v>151</v>
      </c>
      <c r="AM338" s="354"/>
      <c r="AN338" s="354"/>
      <c r="AO338" s="354"/>
      <c r="AP338" s="354">
        <f>IF(SUM(Q330:Q338)=SUM(AE330:AE338,AI330:AI338), 0, SUM(Q330:Q338)-SUM(AE330:AE338,AI330:AI338))</f>
        <v>0</v>
      </c>
      <c r="AQ338" s="350">
        <f>AM338+AN338+AO338+AP338</f>
        <v>0</v>
      </c>
      <c r="AR338" s="769"/>
      <c r="AS338" s="769"/>
      <c r="AT338" s="769"/>
      <c r="AW338"/>
      <c r="AX338"/>
      <c r="AY338" s="280"/>
      <c r="AZ338"/>
      <c r="BA338"/>
      <c r="BB338"/>
      <c r="BC338"/>
      <c r="BD338"/>
      <c r="BE338"/>
      <c r="BF338"/>
      <c r="BG338" s="280"/>
      <c r="BH338"/>
      <c r="BI338"/>
      <c r="BJ338"/>
      <c r="BK338"/>
      <c r="BL338"/>
      <c r="BM338"/>
      <c r="BN338"/>
      <c r="BO338"/>
    </row>
    <row r="339" spans="1:67" ht="22" customHeight="1">
      <c r="A339" s="181">
        <f t="shared" si="121"/>
        <v>45292</v>
      </c>
      <c r="B339" s="232" t="s">
        <v>74</v>
      </c>
      <c r="C339" s="233" t="s">
        <v>75</v>
      </c>
      <c r="D339" s="234" t="s">
        <v>76</v>
      </c>
      <c r="E339" s="235" t="s">
        <v>11</v>
      </c>
      <c r="F339" s="235" t="s">
        <v>4</v>
      </c>
      <c r="G339" s="235" t="s">
        <v>5</v>
      </c>
      <c r="H339" s="235" t="s">
        <v>6</v>
      </c>
      <c r="I339" s="236" t="s">
        <v>77</v>
      </c>
      <c r="J339" s="306"/>
      <c r="K339" s="506" t="str">
        <f t="shared" si="125"/>
        <v/>
      </c>
      <c r="L339" s="306" t="str">
        <f>IFERROR(VLOOKUP(B340,'Aktuelle Einnahmen'!A2:J104,10,0),"")</f>
        <v/>
      </c>
      <c r="M339" s="510" t="str">
        <f>M329</f>
        <v>Stufe C</v>
      </c>
      <c r="N339" s="237"/>
      <c r="O339" s="238"/>
      <c r="P339" s="238"/>
      <c r="Q339" s="239"/>
      <c r="R339" s="240"/>
      <c r="S339" s="241"/>
      <c r="T339" s="241"/>
      <c r="U339" s="242"/>
      <c r="V339" s="243"/>
      <c r="W339" s="241"/>
      <c r="X339" s="241"/>
      <c r="Y339" s="242"/>
      <c r="Z339" s="243"/>
      <c r="AA339" s="241"/>
      <c r="AB339" s="241"/>
      <c r="AC339" s="242"/>
      <c r="AD339" s="243"/>
      <c r="AE339" s="241"/>
      <c r="AF339" s="241"/>
      <c r="AG339" s="242"/>
      <c r="AH339" s="240"/>
      <c r="AI339" s="241"/>
      <c r="AJ339" s="241"/>
      <c r="AK339" s="377"/>
      <c r="AL339" s="347"/>
      <c r="AM339" s="353"/>
      <c r="AN339" s="353"/>
      <c r="AO339" s="353"/>
      <c r="AP339" s="353"/>
      <c r="AQ339" s="349"/>
      <c r="AR339" s="768"/>
      <c r="AS339" s="768"/>
      <c r="AT339" s="768"/>
      <c r="AW339"/>
      <c r="AX339"/>
      <c r="AY339" s="280"/>
      <c r="AZ339"/>
      <c r="BA339"/>
      <c r="BB339"/>
      <c r="BC339"/>
      <c r="BD339"/>
      <c r="BE339"/>
      <c r="BF339"/>
      <c r="BG339" s="280"/>
      <c r="BH339"/>
      <c r="BI339"/>
      <c r="BJ339"/>
      <c r="BK339"/>
      <c r="BL339"/>
      <c r="BM339"/>
      <c r="BN339"/>
      <c r="BO339"/>
    </row>
    <row r="340" spans="1:67" ht="23" customHeight="1">
      <c r="A340" s="181">
        <f t="shared" si="121"/>
        <v>45292</v>
      </c>
      <c r="B340" s="182">
        <v>34</v>
      </c>
      <c r="C340" s="245">
        <f>IFERROR(VLOOKUP($B340,'Aktuelle Einnahmen'!A2:G104,3,0),"")</f>
        <v>0</v>
      </c>
      <c r="D340" s="246">
        <f>IFERROR(VLOOKUP($B340,'Aktuelle Einnahmen'!A2:G104,2,0),"")</f>
        <v>0</v>
      </c>
      <c r="E340" s="247">
        <f>IFERROR(VLOOKUP($B340,'Aktuelle Einnahmen'!A2:G104,4,0),"")</f>
        <v>0</v>
      </c>
      <c r="F340" s="94">
        <f>IFERROR(VLOOKUP($B340,'Aktuelle Einnahmen'!A2:G104,5,0),"")</f>
        <v>0</v>
      </c>
      <c r="G340" s="94">
        <f>IFERROR(VLOOKUP($B340,'Aktuelle Einnahmen'!A2:G104,6,0),"")</f>
        <v>0</v>
      </c>
      <c r="H340" s="94">
        <f>IFERROR(VLOOKUP($B340,'Aktuelle Einnahmen'!A2:G104,7,0),"")</f>
        <v>0</v>
      </c>
      <c r="I340" s="186" t="e">
        <f>DATE(H340,G340,F340)</f>
        <v>#NUM!</v>
      </c>
      <c r="J340" s="472">
        <f ca="1">J330</f>
        <v>45475</v>
      </c>
      <c r="K340" s="501" t="str">
        <f t="shared" si="125"/>
        <v>+Inflat.-P</v>
      </c>
      <c r="L340" s="1262" t="str">
        <f>IFERROR(VLOOKUP(B340,'Aktuelle Einnahmen'!A12:I114,9,0),"")</f>
        <v>Auswahl treffen</v>
      </c>
      <c r="M340" s="1263"/>
      <c r="N340" s="261"/>
      <c r="O340" s="261"/>
      <c r="P340" s="261"/>
      <c r="Q340" s="261"/>
      <c r="R340" s="189"/>
      <c r="S340" s="190"/>
      <c r="T340" s="190"/>
      <c r="U340" s="191"/>
      <c r="V340" s="192"/>
      <c r="W340" s="190"/>
      <c r="X340" s="190"/>
      <c r="Y340" s="191"/>
      <c r="Z340" s="192"/>
      <c r="AA340" s="190"/>
      <c r="AB340" s="190"/>
      <c r="AC340" s="191"/>
      <c r="AD340" s="192"/>
      <c r="AE340" s="190"/>
      <c r="AF340" s="190"/>
      <c r="AG340" s="191"/>
      <c r="AH340" s="193"/>
      <c r="AI340" s="190"/>
      <c r="AJ340" s="190"/>
      <c r="AK340" s="374"/>
      <c r="AL340" s="348"/>
      <c r="AM340" s="354"/>
      <c r="AN340" s="354"/>
      <c r="AO340" s="354"/>
      <c r="AP340" s="354"/>
      <c r="AQ340" s="350"/>
      <c r="AR340" s="769"/>
      <c r="AS340" s="769"/>
      <c r="AT340" s="769"/>
      <c r="AW340"/>
      <c r="AX340"/>
      <c r="AY340" s="280"/>
      <c r="AZ340"/>
      <c r="BA340"/>
      <c r="BB340"/>
      <c r="BC340"/>
      <c r="BD340"/>
      <c r="BE340"/>
      <c r="BF340"/>
      <c r="BG340" s="280"/>
      <c r="BH340"/>
      <c r="BI340"/>
      <c r="BJ340"/>
      <c r="BK340"/>
      <c r="BL340"/>
      <c r="BM340"/>
      <c r="BN340"/>
      <c r="BO340"/>
    </row>
    <row r="341" spans="1:67" ht="22.25" customHeight="1">
      <c r="A341" s="181">
        <f t="shared" si="121"/>
        <v>45292</v>
      </c>
      <c r="B341" s="484" t="e">
        <f>DAY(I340)</f>
        <v>#NUM!</v>
      </c>
      <c r="C341" s="489" t="s">
        <v>158</v>
      </c>
      <c r="D341" s="520" t="e">
        <f>(I341*4)+J341/3+1</f>
        <v>#NUM!</v>
      </c>
      <c r="E341" s="194" t="e">
        <f>J343+1</f>
        <v>#NUM!</v>
      </c>
      <c r="F341" s="195" t="e">
        <f t="shared" ref="F341:F348" si="126">DAY(E341)</f>
        <v>#NUM!</v>
      </c>
      <c r="G341" s="196" t="e">
        <f t="shared" ref="G341:G348" si="127">MONTH(E341)</f>
        <v>#NUM!</v>
      </c>
      <c r="H341" s="195" t="e">
        <f t="shared" ref="H341:H348" si="128">YEAR(E341)</f>
        <v>#NUM!</v>
      </c>
      <c r="I341" s="197" t="e">
        <f>H341-(H340+2000)</f>
        <v>#NUM!</v>
      </c>
      <c r="J341" s="198" t="e">
        <f>G341-G340</f>
        <v>#NUM!</v>
      </c>
      <c r="K341" s="506" t="str">
        <f>L339</f>
        <v/>
      </c>
      <c r="L341" s="469"/>
      <c r="M341" s="473" t="e">
        <f ca="1">SUM(J340-E342)&amp;" Tage"</f>
        <v>#NUM!</v>
      </c>
      <c r="N341" s="206"/>
      <c r="O341" s="201"/>
      <c r="P341" s="201"/>
      <c r="Q341" s="202"/>
      <c r="R341" s="189"/>
      <c r="S341" s="203"/>
      <c r="T341" s="203"/>
      <c r="U341" s="204"/>
      <c r="V341" s="192"/>
      <c r="W341" s="203"/>
      <c r="X341" s="203"/>
      <c r="Y341" s="204"/>
      <c r="Z341" s="192"/>
      <c r="AA341" s="203"/>
      <c r="AB341" s="203"/>
      <c r="AC341" s="204"/>
      <c r="AD341" s="192"/>
      <c r="AE341" s="203"/>
      <c r="AF341" s="203"/>
      <c r="AG341" s="204"/>
      <c r="AH341" s="193"/>
      <c r="AI341" s="203"/>
      <c r="AJ341" s="203"/>
      <c r="AK341" s="375"/>
      <c r="AL341" s="348"/>
      <c r="AM341" s="354"/>
      <c r="AN341" s="354"/>
      <c r="AO341" s="354"/>
      <c r="AP341" s="354"/>
      <c r="AQ341" s="350"/>
      <c r="AR341" s="769"/>
      <c r="AS341" s="769"/>
      <c r="AT341" s="769"/>
      <c r="AW341"/>
      <c r="AX341"/>
      <c r="AY341" s="280"/>
      <c r="AZ341"/>
      <c r="BA341"/>
      <c r="BB341"/>
      <c r="BC341"/>
      <c r="BD341"/>
      <c r="BE341"/>
      <c r="BF341"/>
      <c r="BG341" s="280"/>
      <c r="BH341"/>
      <c r="BI341"/>
      <c r="BJ341"/>
      <c r="BK341"/>
      <c r="BL341"/>
      <c r="BM341"/>
      <c r="BN341"/>
      <c r="BO341"/>
    </row>
    <row r="342" spans="1:67" ht="22.25" customHeight="1">
      <c r="A342" s="181">
        <f t="shared" si="121"/>
        <v>45292</v>
      </c>
      <c r="B342" s="485"/>
      <c r="C342" s="490"/>
      <c r="D342" s="521"/>
      <c r="E342" s="194" t="e">
        <f>DATE(YEAR(E341),MONTH(E341)+3,DAY(E341)-1)</f>
        <v>#NUM!</v>
      </c>
      <c r="F342" s="195" t="e">
        <f t="shared" si="126"/>
        <v>#NUM!</v>
      </c>
      <c r="G342" s="196" t="e">
        <f t="shared" si="127"/>
        <v>#NUM!</v>
      </c>
      <c r="H342" s="195" t="e">
        <f t="shared" si="128"/>
        <v>#NUM!</v>
      </c>
      <c r="I342" s="244">
        <v>-1</v>
      </c>
      <c r="J342" s="198" t="e">
        <f>F341-F340</f>
        <v>#NUM!</v>
      </c>
      <c r="K342" s="506" t="str">
        <f t="shared" si="125"/>
        <v>+Inflat.-P</v>
      </c>
      <c r="L342" s="511" t="e">
        <f>IF(M339="Stufe A",IF(AND(L340="Auswahl treffen",D341&gt;=0,D341&lt;=1000),J339,IF(AND(L340="Vermögend und ambulant",D341&gt;8,D341&lt;=1000),130,IF(AND(L340="Vermögend und ambulant",D341&gt;4,D341&lt;=8),158,IF(AND(L340="Vermögend und ambulant",D341&gt;2,D341&lt;=4),192,IF(AND(L340="Vermögend und ambulant",D341&gt;1,D341&lt;=2),208,IF(AND(L340="Vermögend und ambulant",D341&gt;0,D341&lt;=1),298,IF(AND(L340="Vermögend und stationär",D341&gt;8,D341&lt;=1000),78,IF(AND(L340="Vermögend und stationär",D341&gt;4,D341&lt;=8),91,IF(AND(L340="Vermögend und stationär",D341&gt;2,D341&lt;=4),140,IF(AND(L340="Vermögend und stationär",D341&gt;1,D341&lt;=2),158,IF(AND(L340="Vermögend und stationär",D341&gt;0,D341&lt;=1),200,IF(AND(L340="Mittellos und ambulant",D341&gt;8,D341&lt;=1000),105,IF(AND(L340="Mittellos und ambulant",D341&gt;4,D341&lt;=8),122,IF(AND(L340="Mittellos und ambulant",D341&gt;2,D341&lt;=4),151,IF(AND(L340="Mittellos und ambulant",D341&gt;1,D341&lt;=2),170,IF(AND(L340="Mittellos und ambulant",D341&gt;0,D341&lt;=1),208,IF(AND(L340="Mittellos und stationär",D341&gt;8,D341&lt;=1000),62,IF(AND(L340="Mittellos und stationär",D341&gt;4,D341&lt;=8),87,IF(AND(L340="Mittellos und stationär",D341&gt;2,D341&lt;=4),124,IF(AND(L340="Mittellos und stationär",D341&gt;1,D341&lt;=2),129,IF(AND(L340="Mittellos und stationär",D341&gt;0,D341&lt;=1),194,""))))))))))))))))))))),IF(M339="Stufe B",IF(AND(L340="Auswahl treffen",D341&gt;=0,D341&lt;=1000),J339,IF(AND(L340="Vermögend und ambulant",D341&gt;8,D341&lt;=1000),161,IF(AND(L340="Vermögend und ambulant",D341&gt;4,D341&lt;=8),196,IF(AND(L340="Vermögend und ambulant",D341&gt;2,D341&lt;=4),238,IF(AND(L340="Vermögend und ambulant",D341&gt;1,D341&lt;=2),258,IF(AND(L340="Vermögend und ambulant",D341&gt;0,D341&lt;=1),370,IF(AND(L340="Vermögend und stationär",D341&gt;8,D341&lt;=1000),96,IF(AND(L340="Vermögend und stationär",D341&gt;4,D341&lt;=8),113,IF(AND(L340="Vermögend und stationär",D341&gt;2,D341&lt;=4),174,IF(AND(L340="Vermögend und stationär",D341&gt;1,D341&lt;=2),196,IF(AND(L340="Vermögend und stationär",D341&gt;0,D341&lt;=1),249,IF(AND(L340="Mittellos und ambulant",D341&gt;8,D341&lt;=1000),130,IF(AND(L340="Mittellos und ambulant",D341&gt;4,D341&lt;=8),151,IF(AND(L340="Mittellos und ambulant",D341&gt;2,D341&lt;=4),188,IF(AND(L340="Mittellos und ambulant",D341&gt;1,D341&lt;=2),211,IF(AND(L340="Mittellos und ambulant",D341&gt;0,D341&lt;=1),258,IF(AND(L340="Mittellos und stationär",D341&gt;8,D341&lt;=1000),78,IF(AND(L340="Mittellos und stationär",D341&gt;4,D341&lt;=8),107,IF(AND(L340="Mittellos und stationär",D341&gt;2,D341&lt;=4),154,IF(AND(L340="Mittellos und stationär",D341&gt;1,D341&lt;=2),158,IF(AND(L340="Mittellos und stationär",D341&gt;0,D341&lt;=1),241,""))))))))))))))))))))),IF(M339="Stufe C",IF(AND(L340="Auswahl treffen",D341&gt;=0,D341&lt;=1000),J339,IF(AND(L340="Vermögend und ambulant",D341&gt;8,D341&lt;=1000),211,IF(AND(L340="Vermögend und ambulant",D341&gt;4,D341&lt;=8),257,IF(AND(L340="Vermögend und ambulant",D341&gt;2,D341&lt;=4),312,IF(AND(L340="Vermögend und ambulant",D341&gt;1,D341&lt;=2),339,IF(AND(L340="Vermögend und ambulant",D341&gt;0,D341&lt;=1),486,IF(AND(L340="Vermögend und stationär",D341&gt;8,D341&lt;=1000),127,IF(AND(L340="Vermögend und stationär",D341&gt;4,D341&lt;=8),149,IF(AND(L340="Vermögend und stationär",D341&gt;2,D341&lt;=4),229,IF(AND(L340="Vermögend und stationär",D341&gt;1,D341&lt;=2),257,IF(AND(L340="Vermögend und stationär",D341&gt;0,D341&lt;=1),327,IF(AND(L340="Mittellos und ambulant",D341&gt;8,D341&lt;=1000),171,IF(AND(L340="Mittellos und ambulant",D341&gt;4,D341&lt;=8),198,IF(AND(L340="Mittellos und ambulant",D341&gt;2,D341&lt;=4),246,IF(AND(L340="Mittellos und ambulant",D341&gt;1,D341&lt;=2),277,IF(AND(L340="Mittellos und ambulant",D341&gt;0,D341&lt;=1),339,IF(AND(L340="Mittellos und stationär",D341&gt;8,D341&lt;=1000),102,IF(AND(L340="Mittellos und stationär",D341&gt;4,D341&lt;=8),141,IF(AND(L340="Mittellos und stationär",D341&gt;2,D341&lt;=4),202,IF(AND(L340="Mittellos und stationär",D341&gt;1,D341&lt;=2),208,IF(AND(L340="Mittellos und stationär",D341&gt;0,D341&lt;=1),317,""))))))))))))))))))))),"")))*3+(J339*90)</f>
        <v>#NUM!</v>
      </c>
      <c r="M342" s="507" t="str">
        <f>CONCATENATE(K342, K341)</f>
        <v>+Inflat.-P</v>
      </c>
      <c r="N342" s="206" t="s">
        <v>118</v>
      </c>
      <c r="O342" s="207"/>
      <c r="P342" s="207"/>
      <c r="Q342" s="208"/>
      <c r="R342" s="187"/>
      <c r="S342" s="209" t="s">
        <v>118</v>
      </c>
      <c r="T342" s="201" t="s">
        <v>117</v>
      </c>
      <c r="U342" s="210" t="s">
        <v>26</v>
      </c>
      <c r="V342" s="192"/>
      <c r="W342" s="203"/>
      <c r="X342" s="203"/>
      <c r="Y342" s="210"/>
      <c r="Z342" s="192"/>
      <c r="AA342" s="203"/>
      <c r="AB342" s="203"/>
      <c r="AC342" s="210"/>
      <c r="AD342" s="192"/>
      <c r="AE342" s="203"/>
      <c r="AF342" s="203"/>
      <c r="AG342" s="210"/>
      <c r="AH342" s="193"/>
      <c r="AI342" s="203"/>
      <c r="AJ342" s="203"/>
      <c r="AK342" s="376"/>
      <c r="AL342" s="348" t="s">
        <v>148</v>
      </c>
      <c r="AM342" s="354">
        <f>IF(SUM(N340:N348)=SUM(S340:S348), 0, SUM(N340:N348)-SUM(S340:S348))</f>
        <v>0</v>
      </c>
      <c r="AN342" s="354"/>
      <c r="AO342" s="354"/>
      <c r="AP342" s="354"/>
      <c r="AQ342" s="350">
        <f>AM342+AN342+AO342+AP342</f>
        <v>0</v>
      </c>
      <c r="AR342" s="769"/>
      <c r="AS342" s="769"/>
      <c r="AT342" s="769"/>
      <c r="AW342"/>
      <c r="AX342"/>
      <c r="AY342" s="280"/>
      <c r="AZ342"/>
      <c r="BA342"/>
      <c r="BB342"/>
      <c r="BC342"/>
      <c r="BD342"/>
      <c r="BE342"/>
      <c r="BF342"/>
      <c r="BG342" s="280"/>
      <c r="BH342"/>
      <c r="BI342"/>
      <c r="BJ342"/>
      <c r="BK342"/>
      <c r="BL342"/>
      <c r="BM342"/>
      <c r="BN342"/>
      <c r="BO342"/>
    </row>
    <row r="343" spans="1:67" ht="22.25" customHeight="1">
      <c r="A343" s="181">
        <f t="shared" si="121"/>
        <v>45292</v>
      </c>
      <c r="B343" s="484" t="e">
        <f>MONTH(I340)</f>
        <v>#NUM!</v>
      </c>
      <c r="C343" s="489" t="s">
        <v>158</v>
      </c>
      <c r="D343" s="522" t="e">
        <f>D341+1</f>
        <v>#NUM!</v>
      </c>
      <c r="E343" s="211" t="e">
        <f>DATE(YEAR(E342),MONTH(E342),DAY(E342)+1)</f>
        <v>#NUM!</v>
      </c>
      <c r="F343" s="212" t="e">
        <f t="shared" si="126"/>
        <v>#NUM!</v>
      </c>
      <c r="G343" s="213" t="e">
        <f t="shared" si="127"/>
        <v>#NUM!</v>
      </c>
      <c r="H343" s="212" t="e">
        <f t="shared" si="128"/>
        <v>#NUM!</v>
      </c>
      <c r="I343" s="214" t="str">
        <f>IF(D340&lt;&gt;0,"-1T","")</f>
        <v/>
      </c>
      <c r="J343" s="215" t="e">
        <f>DATE($B345,I344,$B341)</f>
        <v>#NUM!</v>
      </c>
      <c r="K343" s="501" t="str">
        <f t="shared" si="125"/>
        <v/>
      </c>
      <c r="L343" s="470"/>
      <c r="M343" s="473" t="e">
        <f ca="1">SUM(J340-E344)&amp;" Tage"</f>
        <v>#NUM!</v>
      </c>
      <c r="N343" s="216"/>
      <c r="O343" s="217"/>
      <c r="P343" s="188"/>
      <c r="Q343" s="217"/>
      <c r="R343" s="189"/>
      <c r="S343" s="190"/>
      <c r="T343" s="190"/>
      <c r="U343" s="191"/>
      <c r="V343" s="192"/>
      <c r="W343" s="190"/>
      <c r="X343" s="190"/>
      <c r="Y343" s="191"/>
      <c r="Z343" s="192"/>
      <c r="AA343" s="190"/>
      <c r="AB343" s="190"/>
      <c r="AC343" s="191"/>
      <c r="AD343" s="192"/>
      <c r="AE343" s="190"/>
      <c r="AF343" s="190"/>
      <c r="AG343" s="191"/>
      <c r="AH343" s="193"/>
      <c r="AI343" s="190"/>
      <c r="AJ343" s="190"/>
      <c r="AK343" s="374"/>
      <c r="AL343" s="348"/>
      <c r="AM343" s="354"/>
      <c r="AN343" s="354"/>
      <c r="AO343" s="354"/>
      <c r="AP343" s="354"/>
      <c r="AQ343" s="350"/>
      <c r="AR343" s="769"/>
      <c r="AS343" s="769"/>
      <c r="AT343" s="769"/>
      <c r="AW343"/>
      <c r="AX343"/>
      <c r="AY343" s="280"/>
      <c r="AZ343"/>
      <c r="BA343"/>
      <c r="BB343"/>
      <c r="BC343"/>
      <c r="BD343"/>
      <c r="BE343"/>
      <c r="BF343"/>
      <c r="BG343" s="280"/>
      <c r="BH343"/>
      <c r="BI343"/>
      <c r="BJ343"/>
      <c r="BK343"/>
      <c r="BL343"/>
      <c r="BM343"/>
      <c r="BN343"/>
      <c r="BO343"/>
    </row>
    <row r="344" spans="1:67" ht="22.25" customHeight="1">
      <c r="A344" s="181">
        <f t="shared" si="121"/>
        <v>45292</v>
      </c>
      <c r="B344" s="485"/>
      <c r="C344" s="490"/>
      <c r="D344" s="521"/>
      <c r="E344" s="218" t="e">
        <f>DATE(YEAR(E343),MONTH(E343)+3,DAY(E343)-1)</f>
        <v>#NUM!</v>
      </c>
      <c r="F344" s="212" t="e">
        <f t="shared" si="126"/>
        <v>#NUM!</v>
      </c>
      <c r="G344" s="213" t="e">
        <f t="shared" si="127"/>
        <v>#NUM!</v>
      </c>
      <c r="H344" s="212" t="e">
        <f t="shared" si="128"/>
        <v>#NUM!</v>
      </c>
      <c r="I344" s="219">
        <f>MAX(I345:I348)</f>
        <v>9</v>
      </c>
      <c r="J344" s="220" t="e">
        <f>DATE(YEAR(J343)+1,MONTH(J343),DAY(J343))</f>
        <v>#NUM!</v>
      </c>
      <c r="K344" s="506" t="str">
        <f t="shared" si="125"/>
        <v>+Inflat.-P</v>
      </c>
      <c r="L344" s="508" t="e">
        <f>IF(M339="Stufe A",IF(AND(L340="Auswahl treffen",D343&gt;=0,D343&lt;=1000),J339,IF(AND(L340="Vermögend und ambulant",D343&gt;8,D343&lt;=1000),130,IF(AND(L340="Vermögend und ambulant",D343&gt;4,D343&lt;=8),158,IF(AND(L340="Vermögend und ambulant",D343&gt;2,D343&lt;=4),192,IF(AND(L340="Vermögend und ambulant",D343&gt;1,D343&lt;=2),208,IF(AND(L340="Vermögend und ambulant",D343&gt;0,D343&lt;=1),298,IF(AND(L340="Vermögend und stationär",D343&gt;8,D343&lt;=1000),78,IF(AND(L340="Vermögend und stationär",D343&gt;4,D343&lt;=8),91,IF(AND(L340="Vermögend und stationär",D343&gt;2,D343&lt;=4),140,IF(AND(L340="Vermögend und stationär",D343&gt;1,D343&lt;=2),158,IF(AND(L340="Vermögend und stationär",D343&gt;0,D343&lt;=1),200,IF(AND(L340="Mittellos und ambulant",D343&gt;8,D343&lt;=1000),105,IF(AND(L340="Mittellos und ambulant",D343&gt;4,D343&lt;=8),122,IF(AND(L340="Mittellos und ambulant",D343&gt;2,D343&lt;=4),151,IF(AND(L340="Mittellos und ambulant",D343&gt;1,D343&lt;=2),170,IF(AND(L340="Mittellos und ambulant",D343&gt;0,D343&lt;=1),208,IF(AND(L340="Mittellos und stationär",D343&gt;8,D343&lt;=1000),62,IF(AND(L340="Mittellos und stationär",D343&gt;4,D343&lt;=8),87,IF(AND(L340="Mittellos und stationär",D343&gt;2,D343&lt;=4),124,IF(AND(L340="Mittellos und stationär",D343&gt;1,D343&lt;=2),129,IF(AND(L340="Mittellos und stationär",D343&gt;0,D343&lt;=1),194,""))))))))))))))))))))),IF(M339="Stufe B",IF(AND(L340="Auswahl treffen",D343&gt;=0,D343&lt;=1000),J339,IF(AND(L340="Vermögend und ambulant",D343&gt;8,D343&lt;=1000),161,IF(AND(L340="Vermögend und ambulant",D343&gt;4,D343&lt;=8),196,IF(AND(L340="Vermögend und ambulant",D343&gt;2,D343&lt;=4),238,IF(AND(L340="Vermögend und ambulant",D343&gt;1,D343&lt;=2),258,IF(AND(L340="Vermögend und ambulant",D343&gt;0,D343&lt;=1),370,IF(AND(L340="Vermögend und stationär",D343&gt;8,D343&lt;=1000),96,IF(AND(L340="Vermögend und stationär",D343&gt;4,D343&lt;=8),113,IF(AND(L340="Vermögend und stationär",D343&gt;2,D343&lt;=4),174,IF(AND(L340="Vermögend und stationär",D343&gt;1,D343&lt;=2),196,IF(AND(L340="Vermögend und stationär",D343&gt;0,D343&lt;=1),249,IF(AND(L340="Mittellos und ambulant",D343&gt;8,D343&lt;=1000),130,IF(AND(L340="Mittellos und ambulant",D343&gt;4,D343&lt;=8),151,IF(AND(L340="Mittellos und ambulant",D343&gt;2,D343&lt;=4),188,IF(AND(L340="Mittellos und ambulant",D343&gt;1,D343&lt;=2),211,IF(AND(L340="Mittellos und ambulant",D343&gt;0,D343&lt;=1),258,IF(AND(L340="Mittellos und stationär",D343&gt;8,D343&lt;=1000),78,IF(AND(L340="Mittellos und stationär",D343&gt;4,D343&lt;=8),107,IF(AND(L340="Mittellos und stationär",D343&gt;2,D343&lt;=4),154,IF(AND(L340="Mittellos und stationär",D343&gt;1,D343&lt;=2),158,IF(AND(L340="Mittellos und stationär",D343&gt;0,D343&lt;=1),241,""))))))))))))))))))))),IF(M339="Stufe C",IF(AND(L340="Auswahl treffen",D343&gt;=0,D343&lt;=1000),J339,IF(AND(L340="Vermögend und ambulant",D343&gt;8,D343&lt;=1000),211,IF(AND(L340="Vermögend und ambulant",D343&gt;4,D343&lt;=8),257,IF(AND(L340="Vermögend und ambulant",D343&gt;2,D343&lt;=4),312,IF(AND(L340="Vermögend und ambulant",D343&gt;1,D343&lt;=2),339,IF(AND(L340="Vermögend und ambulant",D343&gt;0,D343&lt;=1),486,IF(AND(L340="Vermögend und stationär",D343&gt;8,D343&lt;=1000),127,IF(AND(L340="Vermögend und stationär",D343&gt;4,D343&lt;=8),149,IF(AND(L340="Vermögend und stationär",D343&gt;2,D343&lt;=4),229,IF(AND(L340="Vermögend und stationär",D343&gt;1,D343&lt;=2),257,IF(AND(L340="Vermögend und stationär",D343&gt;0,D343&lt;=1),327,IF(AND(L340="Mittellos und ambulant",D343&gt;8,D343&lt;=1000),171,IF(AND(L340="Mittellos und ambulant",D343&gt;4,D343&lt;=8),198,IF(AND(L340="Mittellos und ambulant",D343&gt;2,D343&lt;=4),246,IF(AND(L340="Mittellos und ambulant",D343&gt;1,D343&lt;=2),277,IF(AND(L340="Mittellos und ambulant",D343&gt;0,D343&lt;=1),339,IF(AND(L340="Mittellos und stationär",D343&gt;8,D343&lt;=1000),102,IF(AND(L340="Mittellos und stationär",D343&gt;4,D343&lt;=8),141,IF(AND(L340="Mittellos und stationär",D343&gt;2,D343&lt;=4),202,IF(AND(L340="Mittellos und stationär",D343&gt;1,D343&lt;=2),208,IF(AND(L340="Mittellos und stationär",D343&gt;0,D343&lt;=1),317,""))))))))))))))))))))),"")))*3+(J339*90)</f>
        <v>#NUM!</v>
      </c>
      <c r="M344" s="507" t="str">
        <f>CONCATENATE(K344, K343)</f>
        <v>+Inflat.-P</v>
      </c>
      <c r="N344" s="216"/>
      <c r="O344" s="188" t="s">
        <v>118</v>
      </c>
      <c r="P344" s="188"/>
      <c r="Q344" s="221"/>
      <c r="R344" s="199"/>
      <c r="S344" s="190"/>
      <c r="T344" s="190"/>
      <c r="U344" s="191"/>
      <c r="V344" s="192"/>
      <c r="W344" s="222" t="s">
        <v>118</v>
      </c>
      <c r="X344" s="222" t="s">
        <v>117</v>
      </c>
      <c r="Y344" s="191" t="s">
        <v>26</v>
      </c>
      <c r="Z344" s="192"/>
      <c r="AA344" s="190"/>
      <c r="AB344" s="190"/>
      <c r="AC344" s="191"/>
      <c r="AD344" s="192"/>
      <c r="AE344" s="190"/>
      <c r="AF344" s="190"/>
      <c r="AG344" s="191"/>
      <c r="AH344" s="193"/>
      <c r="AI344" s="190"/>
      <c r="AJ344" s="190"/>
      <c r="AK344" s="374"/>
      <c r="AL344" s="348" t="s">
        <v>149</v>
      </c>
      <c r="AM344" s="354"/>
      <c r="AN344" s="354">
        <f>IF(SUM(O340:O348)=SUM(W340:W348), 0, SUM(O340:O348)-SUM(W340:W348))</f>
        <v>0</v>
      </c>
      <c r="AO344" s="354"/>
      <c r="AP344" s="354"/>
      <c r="AQ344" s="350">
        <f>AM344+AN344+AO344+AP344</f>
        <v>0</v>
      </c>
      <c r="AR344" s="769"/>
      <c r="AS344" s="769"/>
      <c r="AT344" s="769"/>
      <c r="AW344"/>
      <c r="AX344"/>
      <c r="AY344" s="280"/>
      <c r="AZ344"/>
      <c r="BA344"/>
      <c r="BB344"/>
      <c r="BC344"/>
      <c r="BD344"/>
      <c r="BE344"/>
      <c r="BF344"/>
      <c r="BG344" s="280"/>
      <c r="BH344"/>
      <c r="BI344"/>
      <c r="BJ344"/>
      <c r="BK344"/>
      <c r="BL344"/>
      <c r="BM344"/>
      <c r="BN344"/>
      <c r="BO344"/>
    </row>
    <row r="345" spans="1:67" ht="22.25" customHeight="1">
      <c r="A345" s="181">
        <f t="shared" si="121"/>
        <v>45292</v>
      </c>
      <c r="B345" s="484">
        <f>YEAR($A346)-1</f>
        <v>2023</v>
      </c>
      <c r="C345" s="489" t="s">
        <v>158</v>
      </c>
      <c r="D345" s="520" t="e">
        <f>D343+1</f>
        <v>#NUM!</v>
      </c>
      <c r="E345" s="194" t="e">
        <f>DATE(YEAR(E344),MONTH(E344),DAY(E344)+1)</f>
        <v>#NUM!</v>
      </c>
      <c r="F345" s="195" t="e">
        <f t="shared" si="126"/>
        <v>#NUM!</v>
      </c>
      <c r="G345" s="196" t="e">
        <f t="shared" si="127"/>
        <v>#NUM!</v>
      </c>
      <c r="H345" s="195" t="e">
        <f t="shared" si="128"/>
        <v>#NUM!</v>
      </c>
      <c r="I345" s="197">
        <f>IF(J347&lt;13,J347,"")</f>
        <v>9</v>
      </c>
      <c r="J345" s="224">
        <f>G340</f>
        <v>0</v>
      </c>
      <c r="K345" s="501" t="str">
        <f t="shared" si="125"/>
        <v/>
      </c>
      <c r="L345" s="471"/>
      <c r="M345" s="473" t="e">
        <f ca="1">SUM(J340-E346)&amp;" Tage"</f>
        <v>#NUM!</v>
      </c>
      <c r="N345" s="200"/>
      <c r="O345" s="201"/>
      <c r="P345" s="201"/>
      <c r="Q345" s="202"/>
      <c r="R345" s="189"/>
      <c r="S345" s="203"/>
      <c r="T345" s="203"/>
      <c r="U345" s="204"/>
      <c r="V345" s="192"/>
      <c r="W345" s="203"/>
      <c r="X345" s="203"/>
      <c r="Y345" s="204"/>
      <c r="Z345" s="192"/>
      <c r="AA345" s="203"/>
      <c r="AB345" s="203"/>
      <c r="AC345" s="204"/>
      <c r="AD345" s="192"/>
      <c r="AE345" s="203"/>
      <c r="AF345" s="203"/>
      <c r="AG345" s="204"/>
      <c r="AH345" s="193"/>
      <c r="AI345" s="203"/>
      <c r="AJ345" s="203"/>
      <c r="AK345" s="375"/>
      <c r="AL345" s="348"/>
      <c r="AM345" s="354"/>
      <c r="AN345" s="354"/>
      <c r="AO345" s="354"/>
      <c r="AP345" s="354"/>
      <c r="AQ345" s="350"/>
      <c r="AR345" s="769"/>
      <c r="AS345" s="769"/>
      <c r="AT345" s="769"/>
      <c r="BM345" s="335"/>
    </row>
    <row r="346" spans="1:67" ht="22.25" customHeight="1">
      <c r="A346" s="181">
        <f t="shared" si="121"/>
        <v>45292</v>
      </c>
      <c r="B346" s="485"/>
      <c r="C346" s="490"/>
      <c r="D346" s="521"/>
      <c r="E346" s="194" t="e">
        <f>DATE(YEAR(E345),MONTH(E345)+3,DAY(E345)-1)</f>
        <v>#NUM!</v>
      </c>
      <c r="F346" s="195" t="e">
        <f t="shared" si="126"/>
        <v>#NUM!</v>
      </c>
      <c r="G346" s="196" t="e">
        <f t="shared" si="127"/>
        <v>#NUM!</v>
      </c>
      <c r="H346" s="195" t="e">
        <f t="shared" si="128"/>
        <v>#NUM!</v>
      </c>
      <c r="I346" s="244">
        <f>IF(J348&lt;13,J348,"")</f>
        <v>6</v>
      </c>
      <c r="J346" s="224">
        <f>J345+3</f>
        <v>3</v>
      </c>
      <c r="K346" s="506" t="str">
        <f t="shared" si="125"/>
        <v>+Inflat.-P</v>
      </c>
      <c r="L346" s="511" t="e">
        <f>IF(M339="Stufe A",IF(AND(L340="Auswahl treffen",D345&gt;=0,D345&lt;=1000),J339,IF(AND(L340="Vermögend und ambulant",D345&gt;8,D345&lt;=1000),130,IF(AND(L340="Vermögend und ambulant",D345&gt;4,D345&lt;=8),158,IF(AND(L340="Vermögend und ambulant",D345&gt;2,D345&lt;=4),192,IF(AND(L340="Vermögend und ambulant",D345&gt;1,D345&lt;=2),208,IF(AND(L340="Vermögend und ambulant",D345&gt;0,D345&lt;=1),298,IF(AND(L340="Vermögend und stationär",D345&gt;8,D345&lt;=1000),78,IF(AND(L340="Vermögend und stationär",D345&gt;4,D345&lt;=8),91,IF(AND(L340="Vermögend und stationär",D345&gt;2,D345&lt;=4),140,IF(AND(L340="Vermögend und stationär",D345&gt;1,D345&lt;=2),158,IF(AND(L340="Vermögend und stationär",D345&gt;0,D345&lt;=1),200,IF(AND(L340="Mittellos und ambulant",D345&gt;8,D345&lt;=1000),105,IF(AND(L340="Mittellos und ambulant",D345&gt;4,D345&lt;=8),122,IF(AND(L340="Mittellos und ambulant",D345&gt;2,D345&lt;=4),151,IF(AND(L340="Mittellos und ambulant",D345&gt;1,D345&lt;=2),170,IF(AND(L340="Mittellos und ambulant",D345&gt;0,D345&lt;=1),208,IF(AND(L340="Mittellos und stationär",D345&gt;8,D345&lt;=1000),62,IF(AND(L340="Mittellos und stationär",D345&gt;4,D345&lt;=8),87,IF(AND(L340="Mittellos und stationär",D345&gt;2,D345&lt;=4),124,IF(AND(L340="Mittellos und stationär",D345&gt;1,D345&lt;=2),129,IF(AND(L340="Mittellos und stationär",D345&gt;0,D345&lt;=1),194,""))))))))))))))))))))),IF(M339="Stufe B",IF(AND(L340="Auswahl treffen",D345&gt;=0,D345&lt;=1000),J339,IF(AND(L340="Vermögend und ambulant",D345&gt;8,D345&lt;=1000),161,IF(AND(L340="Vermögend und ambulant",D345&gt;4,D345&lt;=8),196,IF(AND(L340="Vermögend und ambulant",D345&gt;2,D345&lt;=4),238,IF(AND(L340="Vermögend und ambulant",D345&gt;1,D345&lt;=2),258,IF(AND(L340="Vermögend und ambulant",D345&gt;0,D345&lt;=1),370,IF(AND(L340="Vermögend und stationär",D345&gt;8,D345&lt;=1000),96,IF(AND(L340="Vermögend und stationär",D345&gt;4,D345&lt;=8),113,IF(AND(L340="Vermögend und stationär",D345&gt;2,D345&lt;=4),174,IF(AND(L340="Vermögend und stationär",D345&gt;1,D345&lt;=2),196,IF(AND(L340="Vermögend und stationär",D345&gt;0,D345&lt;=1),249,IF(AND(L340="Mittellos und ambulant",D345&gt;8,D345&lt;=1000),130,IF(AND(L340="Mittellos und ambulant",D345&gt;4,D345&lt;=8),151,IF(AND(L340="Mittellos und ambulant",D345&gt;2,D345&lt;=4),188,IF(AND(L340="Mittellos und ambulant",D345&gt;1,D345&lt;=2),211,IF(AND(L340="Mittellos und ambulant",D345&gt;0,D345&lt;=1),258,IF(AND(L340="Mittellos und stationär",D345&gt;8,D345&lt;=1000),78,IF(AND(L340="Mittellos und stationär",D345&gt;4,D345&lt;=8),107,IF(AND(L340="Mittellos und stationär",D345&gt;2,D345&lt;=4),154,IF(AND(L340="Mittellos und stationär",D345&gt;1,D345&lt;=2),158,IF(AND(L340="Mittellos und stationär",D345&gt;0,D345&lt;=1),241,""))))))))))))))))))))),IF(M339="Stufe C",IF(AND(L340="Auswahl treffen",D345&gt;=0,D345&lt;=1000),J339,IF(AND(L340="Vermögend und ambulant",D345&gt;8,D345&lt;=1000),211,IF(AND(L340="Vermögend und ambulant",D345&gt;4,D345&lt;=8),257,IF(AND(L340="Vermögend und ambulant",D345&gt;2,D345&lt;=4),312,IF(AND(L340="Vermögend und ambulant",D345&gt;1,D345&lt;=2),339,IF(AND(L340="Vermögend und ambulant",D345&gt;0,D345&lt;=1),486,IF(AND(L340="Vermögend und stationär",D345&gt;8,D345&lt;=1000),127,IF(AND(L340="Vermögend und stationär",D345&gt;4,D345&lt;=8),149,IF(AND(L340="Vermögend und stationär",D345&gt;2,D345&lt;=4),229,IF(AND(L340="Vermögend und stationär",D345&gt;1,D345&lt;=2),257,IF(AND(L340="Vermögend und stationär",D345&gt;0,D345&lt;=1),327,IF(AND(L340="Mittellos und ambulant",D345&gt;8,D345&lt;=1000),171,IF(AND(L340="Mittellos und ambulant",D345&gt;4,D345&lt;=8),198,IF(AND(L340="Mittellos und ambulant",D345&gt;2,D345&lt;=4),246,IF(AND(L340="Mittellos und ambulant",D345&gt;1,D345&lt;=2),277,IF(AND(L340="Mittellos und ambulant",D345&gt;0,D345&lt;=1),339,IF(AND(L340="Mittellos und stationär",D345&gt;8,D345&lt;=1000),102,IF(AND(L340="Mittellos und stationär",D345&gt;4,D345&lt;=8),141,IF(AND(L340="Mittellos und stationär",D345&gt;2,D345&lt;=4),202,IF(AND(L340="Mittellos und stationär",D345&gt;1,D345&lt;=2),208,IF(AND(L340="Mittellos und stationär",D345&gt;0,D345&lt;=1),317,""))))))))))))))))))))),"")))*3+(J339*90)</f>
        <v>#NUM!</v>
      </c>
      <c r="M346" s="507" t="str">
        <f>CONCATENATE(K346, K345)</f>
        <v>+Inflat.-P</v>
      </c>
      <c r="N346" s="206"/>
      <c r="O346" s="207"/>
      <c r="P346" s="206" t="s">
        <v>118</v>
      </c>
      <c r="Q346" s="226"/>
      <c r="R346" s="189"/>
      <c r="S346" s="203"/>
      <c r="T346" s="203"/>
      <c r="U346" s="204"/>
      <c r="V346" s="192"/>
      <c r="W346" s="203"/>
      <c r="X346" s="203"/>
      <c r="Y346" s="204"/>
      <c r="Z346" s="192"/>
      <c r="AA346" s="209" t="s">
        <v>118</v>
      </c>
      <c r="AB346" s="209" t="s">
        <v>117</v>
      </c>
      <c r="AC346" s="204" t="s">
        <v>26</v>
      </c>
      <c r="AD346" s="192"/>
      <c r="AE346" s="203"/>
      <c r="AF346" s="203"/>
      <c r="AG346" s="204"/>
      <c r="AH346" s="193"/>
      <c r="AI346" s="203"/>
      <c r="AJ346" s="203"/>
      <c r="AK346" s="375"/>
      <c r="AL346" s="348" t="s">
        <v>150</v>
      </c>
      <c r="AM346" s="354"/>
      <c r="AN346" s="354"/>
      <c r="AO346" s="354">
        <f>IF(SUM(P340:P348)=SUM(AA340:AA348), 0, SUM(P340:P348)-SUM(AA340:AA348))</f>
        <v>0</v>
      </c>
      <c r="AP346" s="354"/>
      <c r="AQ346" s="350">
        <f>AM346+AN346+AO346+AP346</f>
        <v>0</v>
      </c>
      <c r="AR346" s="769"/>
      <c r="AS346" s="769"/>
      <c r="AT346" s="769"/>
      <c r="BM346" s="335"/>
    </row>
    <row r="347" spans="1:67" ht="22.25" customHeight="1">
      <c r="A347" s="181">
        <f t="shared" si="121"/>
        <v>45292</v>
      </c>
      <c r="B347" s="486"/>
      <c r="C347" s="489" t="s">
        <v>158</v>
      </c>
      <c r="D347" s="522" t="e">
        <f>D345+1</f>
        <v>#NUM!</v>
      </c>
      <c r="E347" s="211" t="e">
        <f>DATE(YEAR(E346),MONTH(E346),DAY(E346)+1)</f>
        <v>#NUM!</v>
      </c>
      <c r="F347" s="227" t="e">
        <f t="shared" si="126"/>
        <v>#NUM!</v>
      </c>
      <c r="G347" s="228" t="e">
        <f t="shared" si="127"/>
        <v>#NUM!</v>
      </c>
      <c r="H347" s="227" t="e">
        <f t="shared" si="128"/>
        <v>#NUM!</v>
      </c>
      <c r="I347" s="231">
        <f>IF(J346&lt;13,J346,"")</f>
        <v>3</v>
      </c>
      <c r="J347" s="230">
        <f>J348+3</f>
        <v>9</v>
      </c>
      <c r="K347" s="501" t="str">
        <f t="shared" si="125"/>
        <v/>
      </c>
      <c r="L347" s="471"/>
      <c r="M347" s="473" t="e">
        <f ca="1">SUM(J340-E348)&amp;" Tage"</f>
        <v>#NUM!</v>
      </c>
      <c r="N347" s="216"/>
      <c r="O347" s="188"/>
      <c r="P347" s="188"/>
      <c r="Q347" s="217"/>
      <c r="R347" s="189"/>
      <c r="S347" s="190"/>
      <c r="T347" s="190"/>
      <c r="U347" s="191"/>
      <c r="V347" s="192"/>
      <c r="W347" s="190"/>
      <c r="X347" s="190"/>
      <c r="Y347" s="191"/>
      <c r="Z347" s="192"/>
      <c r="AA347" s="190"/>
      <c r="AB347" s="190"/>
      <c r="AC347" s="191"/>
      <c r="AD347" s="192"/>
      <c r="AE347" s="190"/>
      <c r="AF347" s="190"/>
      <c r="AG347" s="191"/>
      <c r="AH347" s="193"/>
      <c r="AI347" s="190"/>
      <c r="AJ347" s="190"/>
      <c r="AK347" s="374"/>
      <c r="AL347" s="348"/>
      <c r="AM347" s="354"/>
      <c r="AN347" s="354"/>
      <c r="AO347" s="354"/>
      <c r="AP347" s="354"/>
      <c r="AQ347" s="350"/>
      <c r="AR347" s="769"/>
      <c r="AS347" s="769"/>
      <c r="AT347" s="769"/>
      <c r="BM347" s="335"/>
    </row>
    <row r="348" spans="1:67" ht="22.25" customHeight="1">
      <c r="A348" s="181">
        <f t="shared" si="121"/>
        <v>45292</v>
      </c>
      <c r="B348" s="485"/>
      <c r="C348" s="490"/>
      <c r="D348" s="521"/>
      <c r="E348" s="218" t="e">
        <f>DATE(YEAR(E347),MONTH(E347)+3,DAY(E347)-1)</f>
        <v>#NUM!</v>
      </c>
      <c r="F348" s="227" t="e">
        <f t="shared" si="126"/>
        <v>#NUM!</v>
      </c>
      <c r="G348" s="228" t="e">
        <f t="shared" si="127"/>
        <v>#NUM!</v>
      </c>
      <c r="H348" s="227" t="e">
        <f t="shared" si="128"/>
        <v>#NUM!</v>
      </c>
      <c r="I348" s="231">
        <f>IF(J345&lt;13,J345,"")</f>
        <v>0</v>
      </c>
      <c r="J348" s="230">
        <f>J346+3</f>
        <v>6</v>
      </c>
      <c r="K348" s="501" t="str">
        <f t="shared" si="125"/>
        <v>+Inflat.-P</v>
      </c>
      <c r="L348" s="508" t="e">
        <f>IF(M339="Stufe A",IF(AND(L340="Auswahl treffen",D347&gt;=0,D347&lt;=1000),J339,IF(AND(L340="Vermögend und ambulant",D347&gt;8,D347&lt;=1000),130,IF(AND(L340="Vermögend und ambulant",D347&gt;4,D347&lt;=8),158,IF(AND(L340="Vermögend und ambulant",D347&gt;2,D347&lt;=4),192,IF(AND(L340="Vermögend und ambulant",D347&gt;1,D347&lt;=2),208,IF(AND(L340="Vermögend und ambulant",D347&gt;0,D347&lt;=1),298,IF(AND(L340="Vermögend und stationär",D347&gt;8,D347&lt;=1000),78,IF(AND(L340="Vermögend und stationär",D347&gt;4,D347&lt;=8),91,IF(AND(L340="Vermögend und stationär",D347&gt;2,D347&lt;=4),140,IF(AND(L340="Vermögend und stationär",D347&gt;1,D347&lt;=2),158,IF(AND(L340="Vermögend und stationär",D347&gt;0,D347&lt;=1),200,IF(AND(L340="Mittellos und ambulant",D347&gt;8,D347&lt;=1000),105,IF(AND(L340="Mittellos und ambulant",D347&gt;4,D347&lt;=8),122,IF(AND(L340="Mittellos und ambulant",D347&gt;2,D347&lt;=4),151,IF(AND(L340="Mittellos und ambulant",D347&gt;1,D347&lt;=2),170,IF(AND(L340="Mittellos und ambulant",D347&gt;0,D347&lt;=1),208,IF(AND(L340="Mittellos und stationär",D347&gt;8,D347&lt;=1000),62,IF(AND(L340="Mittellos und stationär",D347&gt;4,D347&lt;=8),87,IF(AND(L340="Mittellos und stationär",D347&gt;2,D347&lt;=4),124,IF(AND(L340="Mittellos und stationär",D347&gt;1,D347&lt;=2),129,IF(AND(L340="Mittellos und stationär",D347&gt;0,D347&lt;=1),194,""))))))))))))))))))))),IF(M339="Stufe B",IF(AND(L340="Auswahl treffen",D347&gt;=0,D347&lt;=1000),J339,IF(AND(L340="Vermögend und ambulant",D347&gt;8,D347&lt;=1000),161,IF(AND(L340="Vermögend und ambulant",D347&gt;4,D347&lt;=8),196,IF(AND(L340="Vermögend und ambulant",D347&gt;2,D347&lt;=4),238,IF(AND(L340="Vermögend und ambulant",D347&gt;1,D347&lt;=2),258,IF(AND(L340="Vermögend und ambulant",D347&gt;0,D347&lt;=1),370,IF(AND(L340="Vermögend und stationär",D347&gt;8,D347&lt;=1000),96,IF(AND(L340="Vermögend und stationär",D347&gt;4,D347&lt;=8),113,IF(AND(L340="Vermögend und stationär",D347&gt;2,D347&lt;=4),174,IF(AND(L340="Vermögend und stationär",D347&gt;1,D347&lt;=2),196,IF(AND(L340="Vermögend und stationär",D347&gt;0,D347&lt;=1),249,IF(AND(L340="Mittellos und ambulant",D347&gt;8,D347&lt;=1000),130,IF(AND(L340="Mittellos und ambulant",D347&gt;4,D347&lt;=8),151,IF(AND(L340="Mittellos und ambulant",D347&gt;2,D347&lt;=4),188,IF(AND(L340="Mittellos und ambulant",D347&gt;1,D347&lt;=2),211,IF(AND(L340="Mittellos und ambulant",D347&gt;0,D347&lt;=1),258,IF(AND(L340="Mittellos und stationär",D347&gt;8,D347&lt;=1000),78,IF(AND(L340="Mittellos und stationär",D347&gt;4,D347&lt;=8),107,IF(AND(L340="Mittellos und stationär",D347&gt;2,D347&lt;=4),154,IF(AND(L340="Mittellos und stationär",D347&gt;1,D347&lt;=2),158,IF(AND(L340="Mittellos und stationär",D347&gt;0,D347&lt;=1),241,""))))))))))))))))))))),IF(M339="Stufe C",IF(AND(L340="Auswahl treffen",D347&gt;=0,D347&lt;=1000),J339,IF(AND(L340="Vermögend und ambulant",D347&gt;8,D347&lt;=1000),211,IF(AND(L340="Vermögend und ambulant",D347&gt;4,D347&lt;=8),257,IF(AND(L340="Vermögend und ambulant",D347&gt;2,D347&lt;=4),312,IF(AND(L340="Vermögend und ambulant",D347&gt;1,D347&lt;=2),339,IF(AND(L340="Vermögend und ambulant",D347&gt;0,D347&lt;=1),486,IF(AND(L340="Vermögend und stationär",D347&gt;8,D347&lt;=1000),127,IF(AND(L340="Vermögend und stationär",D347&gt;4,D347&lt;=8),149,IF(AND(L340="Vermögend und stationär",D347&gt;2,D347&lt;=4),229,IF(AND(L340="Vermögend und stationär",D347&gt;1,D347&lt;=2),257,IF(AND(L340="Vermögend und stationär",D347&gt;0,D347&lt;=1),327,IF(AND(L340="Mittellos und ambulant",D347&gt;8,D347&lt;=1000),171,IF(AND(L340="Mittellos und ambulant",D347&gt;4,D347&lt;=8),198,IF(AND(L340="Mittellos und ambulant",D347&gt;2,D347&lt;=4),246,IF(AND(L340="Mittellos und ambulant",D347&gt;1,D347&lt;=2),277,IF(AND(L340="Mittellos und ambulant",D347&gt;0,D347&lt;=1),339,IF(AND(L340="Mittellos und stationär",D347&gt;8,D347&lt;=1000),102,IF(AND(L340="Mittellos und stationär",D347&gt;4,D347&lt;=8),141,IF(AND(L340="Mittellos und stationär",D347&gt;2,D347&lt;=4),202,IF(AND(L340="Mittellos und stationär",D347&gt;1,D347&lt;=2),208,IF(AND(L340="Mittellos und stationär",D347&gt;0,D347&lt;=1),317,""))))))))))))))))))))),"")))*3+(J339*90)</f>
        <v>#NUM!</v>
      </c>
      <c r="M348" s="507" t="str">
        <f>CONCATENATE(K348, K347)</f>
        <v>+Inflat.-P</v>
      </c>
      <c r="N348" s="216"/>
      <c r="O348" s="188"/>
      <c r="P348" s="188"/>
      <c r="Q348" s="217" t="s">
        <v>118</v>
      </c>
      <c r="R348" s="189"/>
      <c r="S348" s="190"/>
      <c r="T348" s="190"/>
      <c r="U348" s="191"/>
      <c r="V348" s="192"/>
      <c r="W348" s="190"/>
      <c r="X348" s="190"/>
      <c r="Y348" s="191"/>
      <c r="Z348" s="192"/>
      <c r="AA348" s="190"/>
      <c r="AB348" s="190"/>
      <c r="AC348" s="191"/>
      <c r="AD348" s="192"/>
      <c r="AE348" s="190" t="s">
        <v>118</v>
      </c>
      <c r="AF348" s="190" t="s">
        <v>117</v>
      </c>
      <c r="AG348" s="191" t="s">
        <v>26</v>
      </c>
      <c r="AH348" s="193"/>
      <c r="AI348" s="190" t="s">
        <v>118</v>
      </c>
      <c r="AJ348" s="190" t="s">
        <v>117</v>
      </c>
      <c r="AK348" s="374" t="s">
        <v>26</v>
      </c>
      <c r="AL348" s="348" t="s">
        <v>151</v>
      </c>
      <c r="AM348" s="354"/>
      <c r="AN348" s="354"/>
      <c r="AO348" s="354"/>
      <c r="AP348" s="354">
        <f>IF(SUM(Q340:Q348)=SUM(AE340:AE348,AI340:AI348), 0, SUM(Q340:Q348)-SUM(AE340:AE348,AI340:AI348))</f>
        <v>0</v>
      </c>
      <c r="AQ348" s="350">
        <f>AM348+AN348+AO348+AP348</f>
        <v>0</v>
      </c>
      <c r="AR348" s="769"/>
      <c r="AS348" s="769"/>
      <c r="AT348" s="769"/>
      <c r="BM348" s="335"/>
    </row>
    <row r="349" spans="1:67" ht="22" customHeight="1">
      <c r="A349" s="181">
        <f t="shared" si="121"/>
        <v>45292</v>
      </c>
      <c r="B349" s="232" t="s">
        <v>74</v>
      </c>
      <c r="C349" s="233" t="s">
        <v>75</v>
      </c>
      <c r="D349" s="234" t="s">
        <v>76</v>
      </c>
      <c r="E349" s="235" t="s">
        <v>11</v>
      </c>
      <c r="F349" s="235" t="s">
        <v>4</v>
      </c>
      <c r="G349" s="235" t="s">
        <v>5</v>
      </c>
      <c r="H349" s="235" t="s">
        <v>6</v>
      </c>
      <c r="I349" s="236" t="s">
        <v>77</v>
      </c>
      <c r="J349" s="306"/>
      <c r="K349" s="506" t="str">
        <f t="shared" si="125"/>
        <v/>
      </c>
      <c r="L349" s="306" t="str">
        <f>IFERROR(VLOOKUP(B350,'Aktuelle Einnahmen'!A2:J104,10,0),"")</f>
        <v/>
      </c>
      <c r="M349" s="510" t="str">
        <f>M339</f>
        <v>Stufe C</v>
      </c>
      <c r="N349" s="237"/>
      <c r="O349" s="238"/>
      <c r="P349" s="238"/>
      <c r="Q349" s="239"/>
      <c r="R349" s="240"/>
      <c r="S349" s="241"/>
      <c r="T349" s="241"/>
      <c r="U349" s="242"/>
      <c r="V349" s="243"/>
      <c r="W349" s="241"/>
      <c r="X349" s="241"/>
      <c r="Y349" s="242"/>
      <c r="Z349" s="243"/>
      <c r="AA349" s="241"/>
      <c r="AB349" s="241"/>
      <c r="AC349" s="242"/>
      <c r="AD349" s="243"/>
      <c r="AE349" s="241"/>
      <c r="AF349" s="241"/>
      <c r="AG349" s="242"/>
      <c r="AH349" s="240"/>
      <c r="AI349" s="241"/>
      <c r="AJ349" s="241"/>
      <c r="AK349" s="377"/>
      <c r="AL349" s="347"/>
      <c r="AM349" s="353"/>
      <c r="AN349" s="353"/>
      <c r="AO349" s="353"/>
      <c r="AP349" s="353"/>
      <c r="AQ349" s="349"/>
      <c r="AR349" s="768"/>
      <c r="AS349" s="768"/>
      <c r="AT349" s="768"/>
      <c r="BM349" s="335"/>
    </row>
    <row r="350" spans="1:67" ht="23" customHeight="1">
      <c r="A350" s="181">
        <f t="shared" si="121"/>
        <v>45292</v>
      </c>
      <c r="B350" s="182">
        <v>35</v>
      </c>
      <c r="C350" s="245">
        <f>IFERROR(VLOOKUP($B350,'Aktuelle Einnahmen'!A2:G104,3,0),"")</f>
        <v>0</v>
      </c>
      <c r="D350" s="246">
        <f>IFERROR(VLOOKUP($B350,'Aktuelle Einnahmen'!A2:G104,2,0),"")</f>
        <v>0</v>
      </c>
      <c r="E350" s="247">
        <f>IFERROR(VLOOKUP($B350,'Aktuelle Einnahmen'!A2:G104,4,0),"")</f>
        <v>0</v>
      </c>
      <c r="F350" s="94">
        <f>IFERROR(VLOOKUP($B350,'Aktuelle Einnahmen'!A2:G104,5,0),"")</f>
        <v>0</v>
      </c>
      <c r="G350" s="94">
        <f>IFERROR(VLOOKUP($B350,'Aktuelle Einnahmen'!A2:G104,6,0),"")</f>
        <v>0</v>
      </c>
      <c r="H350" s="94">
        <f>IFERROR(VLOOKUP($B350,'Aktuelle Einnahmen'!A2:G104,7,0),"")</f>
        <v>0</v>
      </c>
      <c r="I350" s="186" t="e">
        <f>DATE(H350,G350,F350)</f>
        <v>#NUM!</v>
      </c>
      <c r="J350" s="472">
        <f ca="1">J340</f>
        <v>45475</v>
      </c>
      <c r="K350" s="501" t="str">
        <f t="shared" si="125"/>
        <v>+Inflat.-P</v>
      </c>
      <c r="L350" s="1262" t="str">
        <f>IFERROR(VLOOKUP(B350,'Aktuelle Einnahmen'!A12:I114,9,0),"")</f>
        <v>Auswahl treffen</v>
      </c>
      <c r="M350" s="1263"/>
      <c r="N350" s="261"/>
      <c r="O350" s="261"/>
      <c r="P350" s="261"/>
      <c r="Q350" s="261"/>
      <c r="R350" s="189"/>
      <c r="S350" s="190"/>
      <c r="T350" s="190"/>
      <c r="U350" s="191"/>
      <c r="V350" s="192"/>
      <c r="W350" s="190"/>
      <c r="X350" s="190"/>
      <c r="Y350" s="191"/>
      <c r="Z350" s="192"/>
      <c r="AA350" s="190"/>
      <c r="AB350" s="190"/>
      <c r="AC350" s="191"/>
      <c r="AD350" s="192"/>
      <c r="AE350" s="190"/>
      <c r="AF350" s="190"/>
      <c r="AG350" s="191"/>
      <c r="AH350" s="193"/>
      <c r="AI350" s="190"/>
      <c r="AJ350" s="190"/>
      <c r="AK350" s="374"/>
      <c r="AL350" s="348"/>
      <c r="AM350" s="354"/>
      <c r="AN350" s="354"/>
      <c r="AO350" s="354"/>
      <c r="AP350" s="354"/>
      <c r="AQ350" s="350"/>
      <c r="AR350" s="769"/>
      <c r="AS350" s="769"/>
      <c r="AT350" s="769"/>
      <c r="BM350" s="335"/>
    </row>
    <row r="351" spans="1:67" ht="22.25" customHeight="1">
      <c r="A351" s="181">
        <f t="shared" si="121"/>
        <v>45292</v>
      </c>
      <c r="B351" s="484" t="e">
        <f>DAY(I350)</f>
        <v>#NUM!</v>
      </c>
      <c r="C351" s="489" t="s">
        <v>158</v>
      </c>
      <c r="D351" s="520" t="e">
        <f>(I351*4)+J351/3+1</f>
        <v>#NUM!</v>
      </c>
      <c r="E351" s="194" t="e">
        <f>J353+1</f>
        <v>#NUM!</v>
      </c>
      <c r="F351" s="195" t="e">
        <f t="shared" ref="F351:F358" si="129">DAY(E351)</f>
        <v>#NUM!</v>
      </c>
      <c r="G351" s="196" t="e">
        <f t="shared" ref="G351:G358" si="130">MONTH(E351)</f>
        <v>#NUM!</v>
      </c>
      <c r="H351" s="195" t="e">
        <f t="shared" ref="H351:H358" si="131">YEAR(E351)</f>
        <v>#NUM!</v>
      </c>
      <c r="I351" s="197" t="e">
        <f>H351-(H350+2000)</f>
        <v>#NUM!</v>
      </c>
      <c r="J351" s="198" t="e">
        <f>G351-G350</f>
        <v>#NUM!</v>
      </c>
      <c r="K351" s="506" t="str">
        <f>L349</f>
        <v/>
      </c>
      <c r="L351" s="469"/>
      <c r="M351" s="473" t="e">
        <f ca="1">SUM(J350-E352)&amp;" Tage"</f>
        <v>#NUM!</v>
      </c>
      <c r="N351" s="206"/>
      <c r="O351" s="201"/>
      <c r="P351" s="201"/>
      <c r="Q351" s="202"/>
      <c r="R351" s="189"/>
      <c r="S351" s="203"/>
      <c r="T351" s="203"/>
      <c r="U351" s="204"/>
      <c r="V351" s="192"/>
      <c r="W351" s="203"/>
      <c r="X351" s="203"/>
      <c r="Y351" s="204"/>
      <c r="Z351" s="192"/>
      <c r="AA351" s="203"/>
      <c r="AB351" s="203"/>
      <c r="AC351" s="204"/>
      <c r="AD351" s="192"/>
      <c r="AE351" s="203"/>
      <c r="AF351" s="203"/>
      <c r="AG351" s="204"/>
      <c r="AH351" s="193"/>
      <c r="AI351" s="203"/>
      <c r="AJ351" s="203"/>
      <c r="AK351" s="375"/>
      <c r="AL351" s="348"/>
      <c r="AM351" s="354"/>
      <c r="AN351" s="354"/>
      <c r="AO351" s="354"/>
      <c r="AP351" s="354"/>
      <c r="AQ351" s="350"/>
      <c r="AR351" s="769"/>
      <c r="AS351" s="769"/>
      <c r="AT351" s="769"/>
      <c r="BM351" s="335"/>
    </row>
    <row r="352" spans="1:67" ht="22.25" customHeight="1">
      <c r="A352" s="181">
        <f t="shared" si="121"/>
        <v>45292</v>
      </c>
      <c r="B352" s="485"/>
      <c r="C352" s="490"/>
      <c r="D352" s="521"/>
      <c r="E352" s="194" t="e">
        <f>DATE(YEAR(E351),MONTH(E351)+3,DAY(E351)-1)</f>
        <v>#NUM!</v>
      </c>
      <c r="F352" s="195" t="e">
        <f t="shared" si="129"/>
        <v>#NUM!</v>
      </c>
      <c r="G352" s="196" t="e">
        <f t="shared" si="130"/>
        <v>#NUM!</v>
      </c>
      <c r="H352" s="195" t="e">
        <f t="shared" si="131"/>
        <v>#NUM!</v>
      </c>
      <c r="I352" s="244">
        <v>-1</v>
      </c>
      <c r="J352" s="198" t="e">
        <f>F351-F350</f>
        <v>#NUM!</v>
      </c>
      <c r="K352" s="501" t="str">
        <f t="shared" si="125"/>
        <v>+Inflat.-P</v>
      </c>
      <c r="L352" s="511" t="e">
        <f>IF(M349="Stufe A",IF(AND(L350="Auswahl treffen",D351&gt;=0,D351&lt;=1000),J349,IF(AND(L350="Vermögend und ambulant",D351&gt;8,D351&lt;=1000),130,IF(AND(L350="Vermögend und ambulant",D351&gt;4,D351&lt;=8),158,IF(AND(L350="Vermögend und ambulant",D351&gt;2,D351&lt;=4),192,IF(AND(L350="Vermögend und ambulant",D351&gt;1,D351&lt;=2),208,IF(AND(L350="Vermögend und ambulant",D351&gt;0,D351&lt;=1),298,IF(AND(L350="Vermögend und stationär",D351&gt;8,D351&lt;=1000),78,IF(AND(L350="Vermögend und stationär",D351&gt;4,D351&lt;=8),91,IF(AND(L350="Vermögend und stationär",D351&gt;2,D351&lt;=4),140,IF(AND(L350="Vermögend und stationär",D351&gt;1,D351&lt;=2),158,IF(AND(L350="Vermögend und stationär",D351&gt;0,D351&lt;=1),200,IF(AND(L350="Mittellos und ambulant",D351&gt;8,D351&lt;=1000),105,IF(AND(L350="Mittellos und ambulant",D351&gt;4,D351&lt;=8),122,IF(AND(L350="Mittellos und ambulant",D351&gt;2,D351&lt;=4),151,IF(AND(L350="Mittellos und ambulant",D351&gt;1,D351&lt;=2),170,IF(AND(L350="Mittellos und ambulant",D351&gt;0,D351&lt;=1),208,IF(AND(L350="Mittellos und stationär",D351&gt;8,D351&lt;=1000),62,IF(AND(L350="Mittellos und stationär",D351&gt;4,D351&lt;=8),87,IF(AND(L350="Mittellos und stationär",D351&gt;2,D351&lt;=4),124,IF(AND(L350="Mittellos und stationär",D351&gt;1,D351&lt;=2),129,IF(AND(L350="Mittellos und stationär",D351&gt;0,D351&lt;=1),194,""))))))))))))))))))))),IF(M349="Stufe B",IF(AND(L350="Auswahl treffen",D351&gt;=0,D351&lt;=1000),J349,IF(AND(L350="Vermögend und ambulant",D351&gt;8,D351&lt;=1000),161,IF(AND(L350="Vermögend und ambulant",D351&gt;4,D351&lt;=8),196,IF(AND(L350="Vermögend und ambulant",D351&gt;2,D351&lt;=4),238,IF(AND(L350="Vermögend und ambulant",D351&gt;1,D351&lt;=2),258,IF(AND(L350="Vermögend und ambulant",D351&gt;0,D351&lt;=1),370,IF(AND(L350="Vermögend und stationär",D351&gt;8,D351&lt;=1000),96,IF(AND(L350="Vermögend und stationär",D351&gt;4,D351&lt;=8),113,IF(AND(L350="Vermögend und stationär",D351&gt;2,D351&lt;=4),174,IF(AND(L350="Vermögend und stationär",D351&gt;1,D351&lt;=2),196,IF(AND(L350="Vermögend und stationär",D351&gt;0,D351&lt;=1),249,IF(AND(L350="Mittellos und ambulant",D351&gt;8,D351&lt;=1000),130,IF(AND(L350="Mittellos und ambulant",D351&gt;4,D351&lt;=8),151,IF(AND(L350="Mittellos und ambulant",D351&gt;2,D351&lt;=4),188,IF(AND(L350="Mittellos und ambulant",D351&gt;1,D351&lt;=2),211,IF(AND(L350="Mittellos und ambulant",D351&gt;0,D351&lt;=1),258,IF(AND(L350="Mittellos und stationär",D351&gt;8,D351&lt;=1000),78,IF(AND(L350="Mittellos und stationär",D351&gt;4,D351&lt;=8),107,IF(AND(L350="Mittellos und stationär",D351&gt;2,D351&lt;=4),154,IF(AND(L350="Mittellos und stationär",D351&gt;1,D351&lt;=2),158,IF(AND(L350="Mittellos und stationär",D351&gt;0,D351&lt;=1),241,""))))))))))))))))))))),IF(M349="Stufe C",IF(AND(L350="Auswahl treffen",D351&gt;=0,D351&lt;=1000),J349,IF(AND(L350="Vermögend und ambulant",D351&gt;8,D351&lt;=1000),211,IF(AND(L350="Vermögend und ambulant",D351&gt;4,D351&lt;=8),257,IF(AND(L350="Vermögend und ambulant",D351&gt;2,D351&lt;=4),312,IF(AND(L350="Vermögend und ambulant",D351&gt;1,D351&lt;=2),339,IF(AND(L350="Vermögend und ambulant",D351&gt;0,D351&lt;=1),486,IF(AND(L350="Vermögend und stationär",D351&gt;8,D351&lt;=1000),127,IF(AND(L350="Vermögend und stationär",D351&gt;4,D351&lt;=8),149,IF(AND(L350="Vermögend und stationär",D351&gt;2,D351&lt;=4),229,IF(AND(L350="Vermögend und stationär",D351&gt;1,D351&lt;=2),257,IF(AND(L350="Vermögend und stationär",D351&gt;0,D351&lt;=1),327,IF(AND(L350="Mittellos und ambulant",D351&gt;8,D351&lt;=1000),171,IF(AND(L350="Mittellos und ambulant",D351&gt;4,D351&lt;=8),198,IF(AND(L350="Mittellos und ambulant",D351&gt;2,D351&lt;=4),246,IF(AND(L350="Mittellos und ambulant",D351&gt;1,D351&lt;=2),277,IF(AND(L350="Mittellos und ambulant",D351&gt;0,D351&lt;=1),339,IF(AND(L350="Mittellos und stationär",D351&gt;8,D351&lt;=1000),102,IF(AND(L350="Mittellos und stationär",D351&gt;4,D351&lt;=8),141,IF(AND(L350="Mittellos und stationär",D351&gt;2,D351&lt;=4),202,IF(AND(L350="Mittellos und stationär",D351&gt;1,D351&lt;=2),208,IF(AND(L350="Mittellos und stationär",D351&gt;0,D351&lt;=1),317,""))))))))))))))))))))),"")))*3+(J349*90)</f>
        <v>#NUM!</v>
      </c>
      <c r="M352" s="507" t="str">
        <f>CONCATENATE(K352, K351)</f>
        <v>+Inflat.-P</v>
      </c>
      <c r="N352" s="206" t="s">
        <v>118</v>
      </c>
      <c r="O352" s="207"/>
      <c r="P352" s="207"/>
      <c r="Q352" s="208"/>
      <c r="R352" s="187"/>
      <c r="S352" s="209" t="s">
        <v>118</v>
      </c>
      <c r="T352" s="201" t="s">
        <v>117</v>
      </c>
      <c r="U352" s="210" t="s">
        <v>26</v>
      </c>
      <c r="V352" s="192"/>
      <c r="W352" s="203"/>
      <c r="X352" s="203"/>
      <c r="Y352" s="210"/>
      <c r="Z352" s="192"/>
      <c r="AA352" s="203"/>
      <c r="AB352" s="203"/>
      <c r="AC352" s="210"/>
      <c r="AD352" s="192"/>
      <c r="AE352" s="203"/>
      <c r="AF352" s="203"/>
      <c r="AG352" s="210"/>
      <c r="AH352" s="193"/>
      <c r="AI352" s="203"/>
      <c r="AJ352" s="203"/>
      <c r="AK352" s="376"/>
      <c r="AL352" s="348" t="s">
        <v>148</v>
      </c>
      <c r="AM352" s="354">
        <f>IF(SUM(N350:N358)=SUM(S350:S358), 0, SUM(N350:N358)-SUM(S350:S358))</f>
        <v>0</v>
      </c>
      <c r="AN352" s="354"/>
      <c r="AO352" s="354"/>
      <c r="AP352" s="354"/>
      <c r="AQ352" s="350">
        <f>AM352+AN352+AO352+AP352</f>
        <v>0</v>
      </c>
      <c r="AR352" s="769"/>
      <c r="AS352" s="769"/>
      <c r="AT352" s="769"/>
      <c r="BM352" s="335"/>
    </row>
    <row r="353" spans="1:65" ht="22.25" customHeight="1">
      <c r="A353" s="181">
        <f t="shared" si="121"/>
        <v>45292</v>
      </c>
      <c r="B353" s="484" t="e">
        <f>MONTH(I350)</f>
        <v>#NUM!</v>
      </c>
      <c r="C353" s="489" t="s">
        <v>158</v>
      </c>
      <c r="D353" s="522" t="e">
        <f>D351+1</f>
        <v>#NUM!</v>
      </c>
      <c r="E353" s="211" t="e">
        <f>DATE(YEAR(E352),MONTH(E352),DAY(E352)+1)</f>
        <v>#NUM!</v>
      </c>
      <c r="F353" s="212" t="e">
        <f t="shared" si="129"/>
        <v>#NUM!</v>
      </c>
      <c r="G353" s="213" t="e">
        <f t="shared" si="130"/>
        <v>#NUM!</v>
      </c>
      <c r="H353" s="212" t="e">
        <f t="shared" si="131"/>
        <v>#NUM!</v>
      </c>
      <c r="I353" s="214" t="str">
        <f>IF(D350&lt;&gt;0,"-1T","")</f>
        <v/>
      </c>
      <c r="J353" s="215" t="e">
        <f>DATE($B355,I354,$B351)</f>
        <v>#NUM!</v>
      </c>
      <c r="K353" s="506" t="str">
        <f t="shared" si="125"/>
        <v/>
      </c>
      <c r="L353" s="470"/>
      <c r="M353" s="473" t="e">
        <f ca="1">SUM(J350-E354)&amp;" Tage"</f>
        <v>#NUM!</v>
      </c>
      <c r="N353" s="216"/>
      <c r="O353" s="217"/>
      <c r="P353" s="188"/>
      <c r="Q353" s="217"/>
      <c r="R353" s="189"/>
      <c r="S353" s="190"/>
      <c r="T353" s="190"/>
      <c r="U353" s="191"/>
      <c r="V353" s="192"/>
      <c r="W353" s="190"/>
      <c r="X353" s="190"/>
      <c r="Y353" s="191"/>
      <c r="Z353" s="192"/>
      <c r="AA353" s="190"/>
      <c r="AB353" s="190"/>
      <c r="AC353" s="191"/>
      <c r="AD353" s="192"/>
      <c r="AE353" s="190"/>
      <c r="AF353" s="190"/>
      <c r="AG353" s="191"/>
      <c r="AH353" s="193"/>
      <c r="AI353" s="190"/>
      <c r="AJ353" s="190"/>
      <c r="AK353" s="374"/>
      <c r="AL353" s="348"/>
      <c r="AM353" s="354"/>
      <c r="AN353" s="354"/>
      <c r="AO353" s="354"/>
      <c r="AP353" s="354"/>
      <c r="AQ353" s="350"/>
      <c r="AR353" s="769"/>
      <c r="AS353" s="769"/>
      <c r="AT353" s="769"/>
      <c r="BM353" s="335"/>
    </row>
    <row r="354" spans="1:65" ht="22.25" customHeight="1">
      <c r="A354" s="181">
        <f t="shared" si="121"/>
        <v>45292</v>
      </c>
      <c r="B354" s="485"/>
      <c r="C354" s="490"/>
      <c r="D354" s="521"/>
      <c r="E354" s="218" t="e">
        <f>DATE(YEAR(E353),MONTH(E353)+3,DAY(E353)-1)</f>
        <v>#NUM!</v>
      </c>
      <c r="F354" s="212" t="e">
        <f t="shared" si="129"/>
        <v>#NUM!</v>
      </c>
      <c r="G354" s="213" t="e">
        <f t="shared" si="130"/>
        <v>#NUM!</v>
      </c>
      <c r="H354" s="212" t="e">
        <f t="shared" si="131"/>
        <v>#NUM!</v>
      </c>
      <c r="I354" s="219">
        <f>MAX(I355:I358)</f>
        <v>9</v>
      </c>
      <c r="J354" s="220" t="e">
        <f>DATE(YEAR(J353)+1,MONTH(J353),DAY(J353))</f>
        <v>#NUM!</v>
      </c>
      <c r="K354" s="501" t="str">
        <f t="shared" si="125"/>
        <v>+Inflat.-P</v>
      </c>
      <c r="L354" s="508" t="e">
        <f>IF(M349="Stufe A",IF(AND(L350="Auswahl treffen",D353&gt;=0,D353&lt;=1000),J349,IF(AND(L350="Vermögend und ambulant",D353&gt;8,D353&lt;=1000),130,IF(AND(L350="Vermögend und ambulant",D353&gt;4,D353&lt;=8),158,IF(AND(L350="Vermögend und ambulant",D353&gt;2,D353&lt;=4),192,IF(AND(L350="Vermögend und ambulant",D353&gt;1,D353&lt;=2),208,IF(AND(L350="Vermögend und ambulant",D353&gt;0,D353&lt;=1),298,IF(AND(L350="Vermögend und stationär",D353&gt;8,D353&lt;=1000),78,IF(AND(L350="Vermögend und stationär",D353&gt;4,D353&lt;=8),91,IF(AND(L350="Vermögend und stationär",D353&gt;2,D353&lt;=4),140,IF(AND(L350="Vermögend und stationär",D353&gt;1,D353&lt;=2),158,IF(AND(L350="Vermögend und stationär",D353&gt;0,D353&lt;=1),200,IF(AND(L350="Mittellos und ambulant",D353&gt;8,D353&lt;=1000),105,IF(AND(L350="Mittellos und ambulant",D353&gt;4,D353&lt;=8),122,IF(AND(L350="Mittellos und ambulant",D353&gt;2,D353&lt;=4),151,IF(AND(L350="Mittellos und ambulant",D353&gt;1,D353&lt;=2),170,IF(AND(L350="Mittellos und ambulant",D353&gt;0,D353&lt;=1),208,IF(AND(L350="Mittellos und stationär",D353&gt;8,D353&lt;=1000),62,IF(AND(L350="Mittellos und stationär",D353&gt;4,D353&lt;=8),87,IF(AND(L350="Mittellos und stationär",D353&gt;2,D353&lt;=4),124,IF(AND(L350="Mittellos und stationär",D353&gt;1,D353&lt;=2),129,IF(AND(L350="Mittellos und stationär",D353&gt;0,D353&lt;=1),194,""))))))))))))))))))))),IF(M349="Stufe B",IF(AND(L350="Auswahl treffen",D353&gt;=0,D353&lt;=1000),J349,IF(AND(L350="Vermögend und ambulant",D353&gt;8,D353&lt;=1000),161,IF(AND(L350="Vermögend und ambulant",D353&gt;4,D353&lt;=8),196,IF(AND(L350="Vermögend und ambulant",D353&gt;2,D353&lt;=4),238,IF(AND(L350="Vermögend und ambulant",D353&gt;1,D353&lt;=2),258,IF(AND(L350="Vermögend und ambulant",D353&gt;0,D353&lt;=1),370,IF(AND(L350="Vermögend und stationär",D353&gt;8,D353&lt;=1000),96,IF(AND(L350="Vermögend und stationär",D353&gt;4,D353&lt;=8),113,IF(AND(L350="Vermögend und stationär",D353&gt;2,D353&lt;=4),174,IF(AND(L350="Vermögend und stationär",D353&gt;1,D353&lt;=2),196,IF(AND(L350="Vermögend und stationär",D353&gt;0,D353&lt;=1),249,IF(AND(L350="Mittellos und ambulant",D353&gt;8,D353&lt;=1000),130,IF(AND(L350="Mittellos und ambulant",D353&gt;4,D353&lt;=8),151,IF(AND(L350="Mittellos und ambulant",D353&gt;2,D353&lt;=4),188,IF(AND(L350="Mittellos und ambulant",D353&gt;1,D353&lt;=2),211,IF(AND(L350="Mittellos und ambulant",D353&gt;0,D353&lt;=1),258,IF(AND(L350="Mittellos und stationär",D353&gt;8,D353&lt;=1000),78,IF(AND(L350="Mittellos und stationär",D353&gt;4,D353&lt;=8),107,IF(AND(L350="Mittellos und stationär",D353&gt;2,D353&lt;=4),154,IF(AND(L350="Mittellos und stationär",D353&gt;1,D353&lt;=2),158,IF(AND(L350="Mittellos und stationär",D353&gt;0,D353&lt;=1),241,""))))))))))))))))))))),IF(M349="Stufe C",IF(AND(L350="Auswahl treffen",D353&gt;=0,D353&lt;=1000),J349,IF(AND(L350="Vermögend und ambulant",D353&gt;8,D353&lt;=1000),211,IF(AND(L350="Vermögend und ambulant",D353&gt;4,D353&lt;=8),257,IF(AND(L350="Vermögend und ambulant",D353&gt;2,D353&lt;=4),312,IF(AND(L350="Vermögend und ambulant",D353&gt;1,D353&lt;=2),339,IF(AND(L350="Vermögend und ambulant",D353&gt;0,D353&lt;=1),486,IF(AND(L350="Vermögend und stationär",D353&gt;8,D353&lt;=1000),127,IF(AND(L350="Vermögend und stationär",D353&gt;4,D353&lt;=8),149,IF(AND(L350="Vermögend und stationär",D353&gt;2,D353&lt;=4),229,IF(AND(L350="Vermögend und stationär",D353&gt;1,D353&lt;=2),257,IF(AND(L350="Vermögend und stationär",D353&gt;0,D353&lt;=1),327,IF(AND(L350="Mittellos und ambulant",D353&gt;8,D353&lt;=1000),171,IF(AND(L350="Mittellos und ambulant",D353&gt;4,D353&lt;=8),198,IF(AND(L350="Mittellos und ambulant",D353&gt;2,D353&lt;=4),246,IF(AND(L350="Mittellos und ambulant",D353&gt;1,D353&lt;=2),277,IF(AND(L350="Mittellos und ambulant",D353&gt;0,D353&lt;=1),339,IF(AND(L350="Mittellos und stationär",D353&gt;8,D353&lt;=1000),102,IF(AND(L350="Mittellos und stationär",D353&gt;4,D353&lt;=8),141,IF(AND(L350="Mittellos und stationär",D353&gt;2,D353&lt;=4),202,IF(AND(L350="Mittellos und stationär",D353&gt;1,D353&lt;=2),208,IF(AND(L350="Mittellos und stationär",D353&gt;0,D353&lt;=1),317,""))))))))))))))))))))),"")))*3+(J349*90)</f>
        <v>#NUM!</v>
      </c>
      <c r="M354" s="507" t="str">
        <f>CONCATENATE(K354, K353)</f>
        <v>+Inflat.-P</v>
      </c>
      <c r="N354" s="216"/>
      <c r="O354" s="188" t="s">
        <v>118</v>
      </c>
      <c r="P354" s="188"/>
      <c r="Q354" s="221"/>
      <c r="R354" s="199"/>
      <c r="S354" s="190"/>
      <c r="T354" s="190"/>
      <c r="U354" s="191"/>
      <c r="V354" s="192"/>
      <c r="W354" s="222" t="s">
        <v>118</v>
      </c>
      <c r="X354" s="222" t="s">
        <v>117</v>
      </c>
      <c r="Y354" s="191" t="s">
        <v>26</v>
      </c>
      <c r="Z354" s="192"/>
      <c r="AA354" s="190"/>
      <c r="AB354" s="190"/>
      <c r="AC354" s="191"/>
      <c r="AD354" s="192"/>
      <c r="AE354" s="190"/>
      <c r="AF354" s="190"/>
      <c r="AG354" s="191"/>
      <c r="AH354" s="193"/>
      <c r="AI354" s="190"/>
      <c r="AJ354" s="190"/>
      <c r="AK354" s="374"/>
      <c r="AL354" s="348" t="s">
        <v>149</v>
      </c>
      <c r="AM354" s="354"/>
      <c r="AN354" s="354">
        <f>IF(SUM(O350:O358)=SUM(W350:W358), 0, SUM(O350:O358)-SUM(W350:W358))</f>
        <v>0</v>
      </c>
      <c r="AO354" s="354"/>
      <c r="AP354" s="354"/>
      <c r="AQ354" s="350">
        <f>AM354+AN354+AO354+AP354</f>
        <v>0</v>
      </c>
      <c r="AR354" s="769"/>
      <c r="AS354" s="769"/>
      <c r="AT354" s="769"/>
      <c r="BM354" s="335"/>
    </row>
    <row r="355" spans="1:65" ht="22.25" customHeight="1">
      <c r="A355" s="181">
        <f t="shared" si="121"/>
        <v>45292</v>
      </c>
      <c r="B355" s="484">
        <f>YEAR($A356)-1</f>
        <v>2023</v>
      </c>
      <c r="C355" s="489" t="s">
        <v>158</v>
      </c>
      <c r="D355" s="520" t="e">
        <f>D353+1</f>
        <v>#NUM!</v>
      </c>
      <c r="E355" s="194" t="e">
        <f>DATE(YEAR(E354),MONTH(E354),DAY(E354)+1)</f>
        <v>#NUM!</v>
      </c>
      <c r="F355" s="195" t="e">
        <f t="shared" si="129"/>
        <v>#NUM!</v>
      </c>
      <c r="G355" s="196" t="e">
        <f t="shared" si="130"/>
        <v>#NUM!</v>
      </c>
      <c r="H355" s="195" t="e">
        <f t="shared" si="131"/>
        <v>#NUM!</v>
      </c>
      <c r="I355" s="197">
        <f>IF(J357&lt;13,J357,"")</f>
        <v>9</v>
      </c>
      <c r="J355" s="224">
        <f>G350</f>
        <v>0</v>
      </c>
      <c r="K355" s="501" t="str">
        <f t="shared" si="125"/>
        <v/>
      </c>
      <c r="L355" s="471"/>
      <c r="M355" s="473" t="e">
        <f ca="1">SUM(J350-E356)&amp;" Tage"</f>
        <v>#NUM!</v>
      </c>
      <c r="N355" s="200"/>
      <c r="O355" s="201"/>
      <c r="P355" s="201"/>
      <c r="Q355" s="202"/>
      <c r="R355" s="189"/>
      <c r="S355" s="203"/>
      <c r="T355" s="203"/>
      <c r="U355" s="204"/>
      <c r="V355" s="192"/>
      <c r="W355" s="203"/>
      <c r="X355" s="203"/>
      <c r="Y355" s="204"/>
      <c r="Z355" s="192"/>
      <c r="AA355" s="203"/>
      <c r="AB355" s="203"/>
      <c r="AC355" s="204"/>
      <c r="AD355" s="192"/>
      <c r="AE355" s="203"/>
      <c r="AF355" s="203"/>
      <c r="AG355" s="204"/>
      <c r="AH355" s="193"/>
      <c r="AI355" s="203"/>
      <c r="AJ355" s="203"/>
      <c r="AK355" s="375"/>
      <c r="AL355" s="348"/>
      <c r="AM355" s="354"/>
      <c r="AN355" s="354"/>
      <c r="AO355" s="354"/>
      <c r="AP355" s="354"/>
      <c r="AQ355" s="350"/>
      <c r="AR355" s="769"/>
      <c r="AS355" s="769"/>
      <c r="AT355" s="769"/>
      <c r="BM355" s="335"/>
    </row>
    <row r="356" spans="1:65" ht="22.25" customHeight="1">
      <c r="A356" s="181">
        <f t="shared" si="121"/>
        <v>45292</v>
      </c>
      <c r="B356" s="485"/>
      <c r="C356" s="490"/>
      <c r="D356" s="521"/>
      <c r="E356" s="194" t="e">
        <f>DATE(YEAR(E355),MONTH(E355)+3,DAY(E355)-1)</f>
        <v>#NUM!</v>
      </c>
      <c r="F356" s="195" t="e">
        <f t="shared" si="129"/>
        <v>#NUM!</v>
      </c>
      <c r="G356" s="196" t="e">
        <f t="shared" si="130"/>
        <v>#NUM!</v>
      </c>
      <c r="H356" s="195" t="e">
        <f t="shared" si="131"/>
        <v>#NUM!</v>
      </c>
      <c r="I356" s="244">
        <f>IF(J358&lt;13,J358,"")</f>
        <v>6</v>
      </c>
      <c r="J356" s="224">
        <f>J355+3</f>
        <v>3</v>
      </c>
      <c r="K356" s="506" t="str">
        <f t="shared" si="125"/>
        <v>+Inflat.-P</v>
      </c>
      <c r="L356" s="511" t="e">
        <f>IF(M349="Stufe A",IF(AND(L350="Auswahl treffen",D355&gt;=0,D355&lt;=1000),J349,IF(AND(L350="Vermögend und ambulant",D355&gt;8,D355&lt;=1000),130,IF(AND(L350="Vermögend und ambulant",D355&gt;4,D355&lt;=8),158,IF(AND(L350="Vermögend und ambulant",D355&gt;2,D355&lt;=4),192,IF(AND(L350="Vermögend und ambulant",D355&gt;1,D355&lt;=2),208,IF(AND(L350="Vermögend und ambulant",D355&gt;0,D355&lt;=1),298,IF(AND(L350="Vermögend und stationär",D355&gt;8,D355&lt;=1000),78,IF(AND(L350="Vermögend und stationär",D355&gt;4,D355&lt;=8),91,IF(AND(L350="Vermögend und stationär",D355&gt;2,D355&lt;=4),140,IF(AND(L350="Vermögend und stationär",D355&gt;1,D355&lt;=2),158,IF(AND(L350="Vermögend und stationär",D355&gt;0,D355&lt;=1),200,IF(AND(L350="Mittellos und ambulant",D355&gt;8,D355&lt;=1000),105,IF(AND(L350="Mittellos und ambulant",D355&gt;4,D355&lt;=8),122,IF(AND(L350="Mittellos und ambulant",D355&gt;2,D355&lt;=4),151,IF(AND(L350="Mittellos und ambulant",D355&gt;1,D355&lt;=2),170,IF(AND(L350="Mittellos und ambulant",D355&gt;0,D355&lt;=1),208,IF(AND(L350="Mittellos und stationär",D355&gt;8,D355&lt;=1000),62,IF(AND(L350="Mittellos und stationär",D355&gt;4,D355&lt;=8),87,IF(AND(L350="Mittellos und stationär",D355&gt;2,D355&lt;=4),124,IF(AND(L350="Mittellos und stationär",D355&gt;1,D355&lt;=2),129,IF(AND(L350="Mittellos und stationär",D355&gt;0,D355&lt;=1),194,""))))))))))))))))))))),IF(M349="Stufe B",IF(AND(L350="Auswahl treffen",D355&gt;=0,D355&lt;=1000),J349,IF(AND(L350="Vermögend und ambulant",D355&gt;8,D355&lt;=1000),161,IF(AND(L350="Vermögend und ambulant",D355&gt;4,D355&lt;=8),196,IF(AND(L350="Vermögend und ambulant",D355&gt;2,D355&lt;=4),238,IF(AND(L350="Vermögend und ambulant",D355&gt;1,D355&lt;=2),258,IF(AND(L350="Vermögend und ambulant",D355&gt;0,D355&lt;=1),370,IF(AND(L350="Vermögend und stationär",D355&gt;8,D355&lt;=1000),96,IF(AND(L350="Vermögend und stationär",D355&gt;4,D355&lt;=8),113,IF(AND(L350="Vermögend und stationär",D355&gt;2,D355&lt;=4),174,IF(AND(L350="Vermögend und stationär",D355&gt;1,D355&lt;=2),196,IF(AND(L350="Vermögend und stationär",D355&gt;0,D355&lt;=1),249,IF(AND(L350="Mittellos und ambulant",D355&gt;8,D355&lt;=1000),130,IF(AND(L350="Mittellos und ambulant",D355&gt;4,D355&lt;=8),151,IF(AND(L350="Mittellos und ambulant",D355&gt;2,D355&lt;=4),188,IF(AND(L350="Mittellos und ambulant",D355&gt;1,D355&lt;=2),211,IF(AND(L350="Mittellos und ambulant",D355&gt;0,D355&lt;=1),258,IF(AND(L350="Mittellos und stationär",D355&gt;8,D355&lt;=1000),78,IF(AND(L350="Mittellos und stationär",D355&gt;4,D355&lt;=8),107,IF(AND(L350="Mittellos und stationär",D355&gt;2,D355&lt;=4),154,IF(AND(L350="Mittellos und stationär",D355&gt;1,D355&lt;=2),158,IF(AND(L350="Mittellos und stationär",D355&gt;0,D355&lt;=1),241,""))))))))))))))))))))),IF(M349="Stufe C",IF(AND(L350="Auswahl treffen",D355&gt;=0,D355&lt;=1000),J349,IF(AND(L350="Vermögend und ambulant",D355&gt;8,D355&lt;=1000),211,IF(AND(L350="Vermögend und ambulant",D355&gt;4,D355&lt;=8),257,IF(AND(L350="Vermögend und ambulant",D355&gt;2,D355&lt;=4),312,IF(AND(L350="Vermögend und ambulant",D355&gt;1,D355&lt;=2),339,IF(AND(L350="Vermögend und ambulant",D355&gt;0,D355&lt;=1),486,IF(AND(L350="Vermögend und stationär",D355&gt;8,D355&lt;=1000),127,IF(AND(L350="Vermögend und stationär",D355&gt;4,D355&lt;=8),149,IF(AND(L350="Vermögend und stationär",D355&gt;2,D355&lt;=4),229,IF(AND(L350="Vermögend und stationär",D355&gt;1,D355&lt;=2),257,IF(AND(L350="Vermögend und stationär",D355&gt;0,D355&lt;=1),327,IF(AND(L350="Mittellos und ambulant",D355&gt;8,D355&lt;=1000),171,IF(AND(L350="Mittellos und ambulant",D355&gt;4,D355&lt;=8),198,IF(AND(L350="Mittellos und ambulant",D355&gt;2,D355&lt;=4),246,IF(AND(L350="Mittellos und ambulant",D355&gt;1,D355&lt;=2),277,IF(AND(L350="Mittellos und ambulant",D355&gt;0,D355&lt;=1),339,IF(AND(L350="Mittellos und stationär",D355&gt;8,D355&lt;=1000),102,IF(AND(L350="Mittellos und stationär",D355&gt;4,D355&lt;=8),141,IF(AND(L350="Mittellos und stationär",D355&gt;2,D355&lt;=4),202,IF(AND(L350="Mittellos und stationär",D355&gt;1,D355&lt;=2),208,IF(AND(L350="Mittellos und stationär",D355&gt;0,D355&lt;=1),317,""))))))))))))))))))))),"")))*3+(J349*90)</f>
        <v>#NUM!</v>
      </c>
      <c r="M356" s="507" t="str">
        <f>CONCATENATE(K356, K355)</f>
        <v>+Inflat.-P</v>
      </c>
      <c r="N356" s="206"/>
      <c r="O356" s="207"/>
      <c r="P356" s="206" t="s">
        <v>118</v>
      </c>
      <c r="Q356" s="226"/>
      <c r="R356" s="189"/>
      <c r="S356" s="203"/>
      <c r="T356" s="203"/>
      <c r="U356" s="204"/>
      <c r="V356" s="192"/>
      <c r="W356" s="203"/>
      <c r="X356" s="203"/>
      <c r="Y356" s="204"/>
      <c r="Z356" s="192"/>
      <c r="AA356" s="209" t="s">
        <v>118</v>
      </c>
      <c r="AB356" s="209" t="s">
        <v>117</v>
      </c>
      <c r="AC356" s="204" t="s">
        <v>26</v>
      </c>
      <c r="AD356" s="192"/>
      <c r="AE356" s="203"/>
      <c r="AF356" s="203"/>
      <c r="AG356" s="204"/>
      <c r="AH356" s="193"/>
      <c r="AI356" s="203"/>
      <c r="AJ356" s="203"/>
      <c r="AK356" s="375"/>
      <c r="AL356" s="348" t="s">
        <v>150</v>
      </c>
      <c r="AM356" s="354"/>
      <c r="AN356" s="354"/>
      <c r="AO356" s="354">
        <f>IF(SUM(P350:P358)=SUM(AA350:AA358), 0, SUM(P350:P358)-SUM(AA350:AA358))</f>
        <v>0</v>
      </c>
      <c r="AP356" s="354"/>
      <c r="AQ356" s="350">
        <f>AM356+AN356+AO356+AP356</f>
        <v>0</v>
      </c>
      <c r="AR356" s="769"/>
      <c r="AS356" s="769"/>
      <c r="AT356" s="769"/>
      <c r="BM356" s="335"/>
    </row>
    <row r="357" spans="1:65" ht="22.25" customHeight="1">
      <c r="A357" s="181">
        <f t="shared" si="121"/>
        <v>45292</v>
      </c>
      <c r="B357" s="486"/>
      <c r="C357" s="489" t="s">
        <v>158</v>
      </c>
      <c r="D357" s="522" t="e">
        <f>D355+1</f>
        <v>#NUM!</v>
      </c>
      <c r="E357" s="211" t="e">
        <f>DATE(YEAR(E356),MONTH(E356),DAY(E356)+1)</f>
        <v>#NUM!</v>
      </c>
      <c r="F357" s="227" t="e">
        <f t="shared" si="129"/>
        <v>#NUM!</v>
      </c>
      <c r="G357" s="228" t="e">
        <f t="shared" si="130"/>
        <v>#NUM!</v>
      </c>
      <c r="H357" s="227" t="e">
        <f t="shared" si="131"/>
        <v>#NUM!</v>
      </c>
      <c r="I357" s="231">
        <f>IF(J356&lt;13,J356,"")</f>
        <v>3</v>
      </c>
      <c r="J357" s="230">
        <f>J358+3</f>
        <v>9</v>
      </c>
      <c r="K357" s="501" t="str">
        <f t="shared" si="125"/>
        <v/>
      </c>
      <c r="L357" s="471"/>
      <c r="M357" s="473" t="e">
        <f ca="1">SUM(J350-E358)&amp;" Tage"</f>
        <v>#NUM!</v>
      </c>
      <c r="N357" s="216"/>
      <c r="O357" s="188"/>
      <c r="P357" s="188"/>
      <c r="Q357" s="217"/>
      <c r="R357" s="189"/>
      <c r="S357" s="190"/>
      <c r="T357" s="190"/>
      <c r="U357" s="191"/>
      <c r="V357" s="192"/>
      <c r="W357" s="190"/>
      <c r="X357" s="190"/>
      <c r="Y357" s="191"/>
      <c r="Z357" s="192"/>
      <c r="AA357" s="190"/>
      <c r="AB357" s="190"/>
      <c r="AC357" s="191"/>
      <c r="AD357" s="192"/>
      <c r="AE357" s="190"/>
      <c r="AF357" s="190"/>
      <c r="AG357" s="191"/>
      <c r="AH357" s="193"/>
      <c r="AI357" s="190"/>
      <c r="AJ357" s="190"/>
      <c r="AK357" s="374"/>
      <c r="AL357" s="348"/>
      <c r="AM357" s="354"/>
      <c r="AN357" s="354"/>
      <c r="AO357" s="354"/>
      <c r="AP357" s="354"/>
      <c r="AQ357" s="350"/>
      <c r="AR357" s="769"/>
      <c r="AS357" s="769"/>
      <c r="AT357" s="769"/>
      <c r="BM357" s="335"/>
    </row>
    <row r="358" spans="1:65" ht="22.25" customHeight="1">
      <c r="A358" s="181">
        <f t="shared" si="121"/>
        <v>45292</v>
      </c>
      <c r="B358" s="485"/>
      <c r="C358" s="490"/>
      <c r="D358" s="521"/>
      <c r="E358" s="218" t="e">
        <f>DATE(YEAR(E357),MONTH(E357)+3,DAY(E357)-1)</f>
        <v>#NUM!</v>
      </c>
      <c r="F358" s="227" t="e">
        <f t="shared" si="129"/>
        <v>#NUM!</v>
      </c>
      <c r="G358" s="228" t="e">
        <f t="shared" si="130"/>
        <v>#NUM!</v>
      </c>
      <c r="H358" s="227" t="e">
        <f t="shared" si="131"/>
        <v>#NUM!</v>
      </c>
      <c r="I358" s="231">
        <f>IF(J355&lt;13,J355,"")</f>
        <v>0</v>
      </c>
      <c r="J358" s="230">
        <f>J356+3</f>
        <v>6</v>
      </c>
      <c r="K358" s="506" t="str">
        <f t="shared" si="125"/>
        <v>+Inflat.-P</v>
      </c>
      <c r="L358" s="508" t="e">
        <f>IF(M349="Stufe A",IF(AND(L350="Auswahl treffen",D357&gt;=0,D357&lt;=1000),J349,IF(AND(L350="Vermögend und ambulant",D357&gt;8,D357&lt;=1000),130,IF(AND(L350="Vermögend und ambulant",D357&gt;4,D357&lt;=8),158,IF(AND(L350="Vermögend und ambulant",D357&gt;2,D357&lt;=4),192,IF(AND(L350="Vermögend und ambulant",D357&gt;1,D357&lt;=2),208,IF(AND(L350="Vermögend und ambulant",D357&gt;0,D357&lt;=1),298,IF(AND(L350="Vermögend und stationär",D357&gt;8,D357&lt;=1000),78,IF(AND(L350="Vermögend und stationär",D357&gt;4,D357&lt;=8),91,IF(AND(L350="Vermögend und stationär",D357&gt;2,D357&lt;=4),140,IF(AND(L350="Vermögend und stationär",D357&gt;1,D357&lt;=2),158,IF(AND(L350="Vermögend und stationär",D357&gt;0,D357&lt;=1),200,IF(AND(L350="Mittellos und ambulant",D357&gt;8,D357&lt;=1000),105,IF(AND(L350="Mittellos und ambulant",D357&gt;4,D357&lt;=8),122,IF(AND(L350="Mittellos und ambulant",D357&gt;2,D357&lt;=4),151,IF(AND(L350="Mittellos und ambulant",D357&gt;1,D357&lt;=2),170,IF(AND(L350="Mittellos und ambulant",D357&gt;0,D357&lt;=1),208,IF(AND(L350="Mittellos und stationär",D357&gt;8,D357&lt;=1000),62,IF(AND(L350="Mittellos und stationär",D357&gt;4,D357&lt;=8),87,IF(AND(L350="Mittellos und stationär",D357&gt;2,D357&lt;=4),124,IF(AND(L350="Mittellos und stationär",D357&gt;1,D357&lt;=2),129,IF(AND(L350="Mittellos und stationär",D357&gt;0,D357&lt;=1),194,""))))))))))))))))))))),IF(M349="Stufe B",IF(AND(L350="Auswahl treffen",D357&gt;=0,D357&lt;=1000),J349,IF(AND(L350="Vermögend und ambulant",D357&gt;8,D357&lt;=1000),161,IF(AND(L350="Vermögend und ambulant",D357&gt;4,D357&lt;=8),196,IF(AND(L350="Vermögend und ambulant",D357&gt;2,D357&lt;=4),238,IF(AND(L350="Vermögend und ambulant",D357&gt;1,D357&lt;=2),258,IF(AND(L350="Vermögend und ambulant",D357&gt;0,D357&lt;=1),370,IF(AND(L350="Vermögend und stationär",D357&gt;8,D357&lt;=1000),96,IF(AND(L350="Vermögend und stationär",D357&gt;4,D357&lt;=8),113,IF(AND(L350="Vermögend und stationär",D357&gt;2,D357&lt;=4),174,IF(AND(L350="Vermögend und stationär",D357&gt;1,D357&lt;=2),196,IF(AND(L350="Vermögend und stationär",D357&gt;0,D357&lt;=1),249,IF(AND(L350="Mittellos und ambulant",D357&gt;8,D357&lt;=1000),130,IF(AND(L350="Mittellos und ambulant",D357&gt;4,D357&lt;=8),151,IF(AND(L350="Mittellos und ambulant",D357&gt;2,D357&lt;=4),188,IF(AND(L350="Mittellos und ambulant",D357&gt;1,D357&lt;=2),211,IF(AND(L350="Mittellos und ambulant",D357&gt;0,D357&lt;=1),258,IF(AND(L350="Mittellos und stationär",D357&gt;8,D357&lt;=1000),78,IF(AND(L350="Mittellos und stationär",D357&gt;4,D357&lt;=8),107,IF(AND(L350="Mittellos und stationär",D357&gt;2,D357&lt;=4),154,IF(AND(L350="Mittellos und stationär",D357&gt;1,D357&lt;=2),158,IF(AND(L350="Mittellos und stationär",D357&gt;0,D357&lt;=1),241,""))))))))))))))))))))),IF(M349="Stufe C",IF(AND(L350="Auswahl treffen",D357&gt;=0,D357&lt;=1000),J349,IF(AND(L350="Vermögend und ambulant",D357&gt;8,D357&lt;=1000),211,IF(AND(L350="Vermögend und ambulant",D357&gt;4,D357&lt;=8),257,IF(AND(L350="Vermögend und ambulant",D357&gt;2,D357&lt;=4),312,IF(AND(L350="Vermögend und ambulant",D357&gt;1,D357&lt;=2),339,IF(AND(L350="Vermögend und ambulant",D357&gt;0,D357&lt;=1),486,IF(AND(L350="Vermögend und stationär",D357&gt;8,D357&lt;=1000),127,IF(AND(L350="Vermögend und stationär",D357&gt;4,D357&lt;=8),149,IF(AND(L350="Vermögend und stationär",D357&gt;2,D357&lt;=4),229,IF(AND(L350="Vermögend und stationär",D357&gt;1,D357&lt;=2),257,IF(AND(L350="Vermögend und stationär",D357&gt;0,D357&lt;=1),327,IF(AND(L350="Mittellos und ambulant",D357&gt;8,D357&lt;=1000),171,IF(AND(L350="Mittellos und ambulant",D357&gt;4,D357&lt;=8),198,IF(AND(L350="Mittellos und ambulant",D357&gt;2,D357&lt;=4),246,IF(AND(L350="Mittellos und ambulant",D357&gt;1,D357&lt;=2),277,IF(AND(L350="Mittellos und ambulant",D357&gt;0,D357&lt;=1),339,IF(AND(L350="Mittellos und stationär",D357&gt;8,D357&lt;=1000),102,IF(AND(L350="Mittellos und stationär",D357&gt;4,D357&lt;=8),141,IF(AND(L350="Mittellos und stationär",D357&gt;2,D357&lt;=4),202,IF(AND(L350="Mittellos und stationär",D357&gt;1,D357&lt;=2),208,IF(AND(L350="Mittellos und stationär",D357&gt;0,D357&lt;=1),317,""))))))))))))))))))))),"")))*3+(J349*90)</f>
        <v>#NUM!</v>
      </c>
      <c r="M358" s="507" t="str">
        <f>CONCATENATE(K358, K357)</f>
        <v>+Inflat.-P</v>
      </c>
      <c r="N358" s="216"/>
      <c r="O358" s="188"/>
      <c r="P358" s="188"/>
      <c r="Q358" s="217" t="s">
        <v>118</v>
      </c>
      <c r="R358" s="189"/>
      <c r="S358" s="190"/>
      <c r="T358" s="190"/>
      <c r="U358" s="191"/>
      <c r="V358" s="192"/>
      <c r="W358" s="190"/>
      <c r="X358" s="190"/>
      <c r="Y358" s="191"/>
      <c r="Z358" s="192"/>
      <c r="AA358" s="190"/>
      <c r="AB358" s="190"/>
      <c r="AC358" s="191"/>
      <c r="AD358" s="192"/>
      <c r="AE358" s="190" t="s">
        <v>118</v>
      </c>
      <c r="AF358" s="190" t="s">
        <v>117</v>
      </c>
      <c r="AG358" s="191" t="s">
        <v>26</v>
      </c>
      <c r="AH358" s="193"/>
      <c r="AI358" s="190" t="s">
        <v>118</v>
      </c>
      <c r="AJ358" s="190" t="s">
        <v>117</v>
      </c>
      <c r="AK358" s="374" t="s">
        <v>26</v>
      </c>
      <c r="AL358" s="348" t="s">
        <v>151</v>
      </c>
      <c r="AM358" s="354"/>
      <c r="AN358" s="354"/>
      <c r="AO358" s="354"/>
      <c r="AP358" s="354">
        <f>IF(SUM(Q350:Q358)=SUM(AE350:AE358,AI350:AI358), 0, SUM(Q350:Q358)-SUM(AE350:AE358,AI350:AI358))</f>
        <v>0</v>
      </c>
      <c r="AQ358" s="350">
        <f>AM358+AN358+AO358+AP358</f>
        <v>0</v>
      </c>
      <c r="AR358" s="769"/>
      <c r="AS358" s="769"/>
      <c r="AT358" s="769"/>
      <c r="BM358" s="335"/>
    </row>
    <row r="359" spans="1:65" ht="22" customHeight="1">
      <c r="A359" s="181">
        <f t="shared" si="121"/>
        <v>45292</v>
      </c>
      <c r="B359" s="232" t="s">
        <v>74</v>
      </c>
      <c r="C359" s="233" t="s">
        <v>75</v>
      </c>
      <c r="D359" s="234" t="s">
        <v>76</v>
      </c>
      <c r="E359" s="235" t="s">
        <v>11</v>
      </c>
      <c r="F359" s="235" t="s">
        <v>4</v>
      </c>
      <c r="G359" s="235" t="s">
        <v>5</v>
      </c>
      <c r="H359" s="235" t="s">
        <v>6</v>
      </c>
      <c r="I359" s="236" t="s">
        <v>77</v>
      </c>
      <c r="J359" s="306"/>
      <c r="K359" s="501" t="str">
        <f t="shared" si="125"/>
        <v/>
      </c>
      <c r="L359" s="306" t="str">
        <f>IFERROR(VLOOKUP(B360,'Aktuelle Einnahmen'!A2:J104,10,0),"")</f>
        <v/>
      </c>
      <c r="M359" s="510" t="str">
        <f>M349</f>
        <v>Stufe C</v>
      </c>
      <c r="N359" s="237"/>
      <c r="O359" s="238"/>
      <c r="P359" s="238"/>
      <c r="Q359" s="239"/>
      <c r="R359" s="240"/>
      <c r="S359" s="241"/>
      <c r="T359" s="241"/>
      <c r="U359" s="242"/>
      <c r="V359" s="243"/>
      <c r="W359" s="241"/>
      <c r="X359" s="241"/>
      <c r="Y359" s="242"/>
      <c r="Z359" s="243"/>
      <c r="AA359" s="241"/>
      <c r="AB359" s="241"/>
      <c r="AC359" s="242"/>
      <c r="AD359" s="243"/>
      <c r="AE359" s="241"/>
      <c r="AF359" s="241"/>
      <c r="AG359" s="242"/>
      <c r="AH359" s="240"/>
      <c r="AI359" s="241"/>
      <c r="AJ359" s="241"/>
      <c r="AK359" s="377"/>
      <c r="AL359" s="347"/>
      <c r="AM359" s="353"/>
      <c r="AN359" s="353"/>
      <c r="AO359" s="353"/>
      <c r="AP359" s="353"/>
      <c r="AQ359" s="349"/>
      <c r="AR359" s="768"/>
      <c r="AS359" s="768"/>
      <c r="AT359" s="768"/>
      <c r="BM359" s="335"/>
    </row>
    <row r="360" spans="1:65" ht="23" customHeight="1">
      <c r="A360" s="181">
        <f t="shared" si="121"/>
        <v>45292</v>
      </c>
      <c r="B360" s="182">
        <v>36</v>
      </c>
      <c r="C360" s="245">
        <f>IFERROR(VLOOKUP($B360,'Aktuelle Einnahmen'!A2:G104,3,0),"")</f>
        <v>0</v>
      </c>
      <c r="D360" s="246">
        <f>IFERROR(VLOOKUP($B360,'Aktuelle Einnahmen'!A2:G104,2,0),"")</f>
        <v>0</v>
      </c>
      <c r="E360" s="247">
        <f>IFERROR(VLOOKUP($B360,'Aktuelle Einnahmen'!A2:G104,4,0),"")</f>
        <v>0</v>
      </c>
      <c r="F360" s="94">
        <f>IFERROR(VLOOKUP($B360,'Aktuelle Einnahmen'!A2:G104,5,0),"")</f>
        <v>0</v>
      </c>
      <c r="G360" s="94">
        <f>IFERROR(VLOOKUP($B360,'Aktuelle Einnahmen'!A2:G104,6,0),"")</f>
        <v>0</v>
      </c>
      <c r="H360" s="94">
        <f>IFERROR(VLOOKUP($B360,'Aktuelle Einnahmen'!A2:G104,7,0),"")</f>
        <v>0</v>
      </c>
      <c r="I360" s="186" t="e">
        <f>DATE(H360,G360,F360)</f>
        <v>#NUM!</v>
      </c>
      <c r="J360" s="472">
        <f ca="1">J350</f>
        <v>45475</v>
      </c>
      <c r="K360" s="506" t="str">
        <f t="shared" si="125"/>
        <v>+Inflat.-P</v>
      </c>
      <c r="L360" s="1262" t="str">
        <f>IFERROR(VLOOKUP(B360,'Aktuelle Einnahmen'!A12:I114,9,0),"")</f>
        <v>Auswahl treffen</v>
      </c>
      <c r="M360" s="1263"/>
      <c r="N360" s="261"/>
      <c r="O360" s="261"/>
      <c r="P360" s="261"/>
      <c r="Q360" s="261"/>
      <c r="R360" s="189"/>
      <c r="S360" s="190"/>
      <c r="T360" s="190"/>
      <c r="U360" s="191"/>
      <c r="V360" s="192"/>
      <c r="W360" s="190"/>
      <c r="X360" s="190"/>
      <c r="Y360" s="191"/>
      <c r="Z360" s="192"/>
      <c r="AA360" s="190"/>
      <c r="AB360" s="190"/>
      <c r="AC360" s="191"/>
      <c r="AD360" s="192"/>
      <c r="AE360" s="190"/>
      <c r="AF360" s="190"/>
      <c r="AG360" s="191"/>
      <c r="AH360" s="193"/>
      <c r="AI360" s="190"/>
      <c r="AJ360" s="190"/>
      <c r="AK360" s="374"/>
      <c r="AL360" s="348"/>
      <c r="AM360" s="354"/>
      <c r="AN360" s="354"/>
      <c r="AO360" s="354"/>
      <c r="AP360" s="354"/>
      <c r="AQ360" s="350"/>
      <c r="AR360" s="769"/>
      <c r="AS360" s="769"/>
      <c r="AT360" s="769"/>
      <c r="BM360" s="335"/>
    </row>
    <row r="361" spans="1:65" ht="22.25" customHeight="1">
      <c r="A361" s="181">
        <f t="shared" si="121"/>
        <v>45292</v>
      </c>
      <c r="B361" s="484" t="e">
        <f>DAY(I360)</f>
        <v>#NUM!</v>
      </c>
      <c r="C361" s="489" t="s">
        <v>158</v>
      </c>
      <c r="D361" s="520" t="e">
        <f>(I361*4)+J361/3+1</f>
        <v>#NUM!</v>
      </c>
      <c r="E361" s="194" t="e">
        <f>J363+1</f>
        <v>#NUM!</v>
      </c>
      <c r="F361" s="195" t="e">
        <f t="shared" ref="F361:F368" si="132">DAY(E361)</f>
        <v>#NUM!</v>
      </c>
      <c r="G361" s="196" t="e">
        <f t="shared" ref="G361:G368" si="133">MONTH(E361)</f>
        <v>#NUM!</v>
      </c>
      <c r="H361" s="195" t="e">
        <f t="shared" ref="H361:H368" si="134">YEAR(E361)</f>
        <v>#NUM!</v>
      </c>
      <c r="I361" s="197" t="e">
        <f>H361-(H360+2000)</f>
        <v>#NUM!</v>
      </c>
      <c r="J361" s="198" t="e">
        <f>G361-G360</f>
        <v>#NUM!</v>
      </c>
      <c r="K361" s="506" t="str">
        <f>L359</f>
        <v/>
      </c>
      <c r="L361" s="469"/>
      <c r="M361" s="473" t="e">
        <f ca="1">SUM(J360-E362)&amp;" Tage"</f>
        <v>#NUM!</v>
      </c>
      <c r="N361" s="206"/>
      <c r="O361" s="201"/>
      <c r="P361" s="201"/>
      <c r="Q361" s="202"/>
      <c r="R361" s="189"/>
      <c r="S361" s="203"/>
      <c r="T361" s="203"/>
      <c r="U361" s="204"/>
      <c r="V361" s="192"/>
      <c r="W361" s="203"/>
      <c r="X361" s="203"/>
      <c r="Y361" s="204"/>
      <c r="Z361" s="192"/>
      <c r="AA361" s="203"/>
      <c r="AB361" s="203"/>
      <c r="AC361" s="204"/>
      <c r="AD361" s="192"/>
      <c r="AE361" s="203"/>
      <c r="AF361" s="203"/>
      <c r="AG361" s="204"/>
      <c r="AH361" s="193"/>
      <c r="AI361" s="203"/>
      <c r="AJ361" s="203"/>
      <c r="AK361" s="375"/>
      <c r="AL361" s="348"/>
      <c r="AM361" s="354"/>
      <c r="AN361" s="354"/>
      <c r="AO361" s="354"/>
      <c r="AP361" s="354"/>
      <c r="AQ361" s="350"/>
      <c r="AR361" s="769"/>
      <c r="AS361" s="769"/>
      <c r="AT361" s="769"/>
      <c r="BM361" s="335"/>
    </row>
    <row r="362" spans="1:65" ht="22.25" customHeight="1">
      <c r="A362" s="181">
        <f t="shared" si="121"/>
        <v>45292</v>
      </c>
      <c r="B362" s="485"/>
      <c r="C362" s="490"/>
      <c r="D362" s="521"/>
      <c r="E362" s="194" t="e">
        <f>DATE(YEAR(E361),MONTH(E361)+3,DAY(E361)-1)</f>
        <v>#NUM!</v>
      </c>
      <c r="F362" s="195" t="e">
        <f t="shared" si="132"/>
        <v>#NUM!</v>
      </c>
      <c r="G362" s="196" t="e">
        <f t="shared" si="133"/>
        <v>#NUM!</v>
      </c>
      <c r="H362" s="195" t="e">
        <f t="shared" si="134"/>
        <v>#NUM!</v>
      </c>
      <c r="I362" s="244">
        <v>-1</v>
      </c>
      <c r="J362" s="198" t="e">
        <f>F361-F360</f>
        <v>#NUM!</v>
      </c>
      <c r="K362" s="501" t="str">
        <f t="shared" si="125"/>
        <v>+Inflat.-P</v>
      </c>
      <c r="L362" s="511" t="e">
        <f>IF(M359="Stufe A",IF(AND(L360="Auswahl treffen",D361&gt;=0,D361&lt;=1000),J359,IF(AND(L360="Vermögend und ambulant",D361&gt;8,D361&lt;=1000),130,IF(AND(L360="Vermögend und ambulant",D361&gt;4,D361&lt;=8),158,IF(AND(L360="Vermögend und ambulant",D361&gt;2,D361&lt;=4),192,IF(AND(L360="Vermögend und ambulant",D361&gt;1,D361&lt;=2),208,IF(AND(L360="Vermögend und ambulant",D361&gt;0,D361&lt;=1),298,IF(AND(L360="Vermögend und stationär",D361&gt;8,D361&lt;=1000),78,IF(AND(L360="Vermögend und stationär",D361&gt;4,D361&lt;=8),91,IF(AND(L360="Vermögend und stationär",D361&gt;2,D361&lt;=4),140,IF(AND(L360="Vermögend und stationär",D361&gt;1,D361&lt;=2),158,IF(AND(L360="Vermögend und stationär",D361&gt;0,D361&lt;=1),200,IF(AND(L360="Mittellos und ambulant",D361&gt;8,D361&lt;=1000),105,IF(AND(L360="Mittellos und ambulant",D361&gt;4,D361&lt;=8),122,IF(AND(L360="Mittellos und ambulant",D361&gt;2,D361&lt;=4),151,IF(AND(L360="Mittellos und ambulant",D361&gt;1,D361&lt;=2),170,IF(AND(L360="Mittellos und ambulant",D361&gt;0,D361&lt;=1),208,IF(AND(L360="Mittellos und stationär",D361&gt;8,D361&lt;=1000),62,IF(AND(L360="Mittellos und stationär",D361&gt;4,D361&lt;=8),87,IF(AND(L360="Mittellos und stationär",D361&gt;2,D361&lt;=4),124,IF(AND(L360="Mittellos und stationär",D361&gt;1,D361&lt;=2),129,IF(AND(L360="Mittellos und stationär",D361&gt;0,D361&lt;=1),194,""))))))))))))))))))))),IF(M359="Stufe B",IF(AND(L360="Auswahl treffen",D361&gt;=0,D361&lt;=1000),J359,IF(AND(L360="Vermögend und ambulant",D361&gt;8,D361&lt;=1000),161,IF(AND(L360="Vermögend und ambulant",D361&gt;4,D361&lt;=8),196,IF(AND(L360="Vermögend und ambulant",D361&gt;2,D361&lt;=4),238,IF(AND(L360="Vermögend und ambulant",D361&gt;1,D361&lt;=2),258,IF(AND(L360="Vermögend und ambulant",D361&gt;0,D361&lt;=1),370,IF(AND(L360="Vermögend und stationär",D361&gt;8,D361&lt;=1000),96,IF(AND(L360="Vermögend und stationär",D361&gt;4,D361&lt;=8),113,IF(AND(L360="Vermögend und stationär",D361&gt;2,D361&lt;=4),174,IF(AND(L360="Vermögend und stationär",D361&gt;1,D361&lt;=2),196,IF(AND(L360="Vermögend und stationär",D361&gt;0,D361&lt;=1),249,IF(AND(L360="Mittellos und ambulant",D361&gt;8,D361&lt;=1000),130,IF(AND(L360="Mittellos und ambulant",D361&gt;4,D361&lt;=8),151,IF(AND(L360="Mittellos und ambulant",D361&gt;2,D361&lt;=4),188,IF(AND(L360="Mittellos und ambulant",D361&gt;1,D361&lt;=2),211,IF(AND(L360="Mittellos und ambulant",D361&gt;0,D361&lt;=1),258,IF(AND(L360="Mittellos und stationär",D361&gt;8,D361&lt;=1000),78,IF(AND(L360="Mittellos und stationär",D361&gt;4,D361&lt;=8),107,IF(AND(L360="Mittellos und stationär",D361&gt;2,D361&lt;=4),154,IF(AND(L360="Mittellos und stationär",D361&gt;1,D361&lt;=2),158,IF(AND(L360="Mittellos und stationär",D361&gt;0,D361&lt;=1),241,""))))))))))))))))))))),IF(M359="Stufe C",IF(AND(L360="Auswahl treffen",D361&gt;=0,D361&lt;=1000),J359,IF(AND(L360="Vermögend und ambulant",D361&gt;8,D361&lt;=1000),211,IF(AND(L360="Vermögend und ambulant",D361&gt;4,D361&lt;=8),257,IF(AND(L360="Vermögend und ambulant",D361&gt;2,D361&lt;=4),312,IF(AND(L360="Vermögend und ambulant",D361&gt;1,D361&lt;=2),339,IF(AND(L360="Vermögend und ambulant",D361&gt;0,D361&lt;=1),486,IF(AND(L360="Vermögend und stationär",D361&gt;8,D361&lt;=1000),127,IF(AND(L360="Vermögend und stationär",D361&gt;4,D361&lt;=8),149,IF(AND(L360="Vermögend und stationär",D361&gt;2,D361&lt;=4),229,IF(AND(L360="Vermögend und stationär",D361&gt;1,D361&lt;=2),257,IF(AND(L360="Vermögend und stationär",D361&gt;0,D361&lt;=1),327,IF(AND(L360="Mittellos und ambulant",D361&gt;8,D361&lt;=1000),171,IF(AND(L360="Mittellos und ambulant",D361&gt;4,D361&lt;=8),198,IF(AND(L360="Mittellos und ambulant",D361&gt;2,D361&lt;=4),246,IF(AND(L360="Mittellos und ambulant",D361&gt;1,D361&lt;=2),277,IF(AND(L360="Mittellos und ambulant",D361&gt;0,D361&lt;=1),339,IF(AND(L360="Mittellos und stationär",D361&gt;8,D361&lt;=1000),102,IF(AND(L360="Mittellos und stationär",D361&gt;4,D361&lt;=8),141,IF(AND(L360="Mittellos und stationär",D361&gt;2,D361&lt;=4),202,IF(AND(L360="Mittellos und stationär",D361&gt;1,D361&lt;=2),208,IF(AND(L360="Mittellos und stationär",D361&gt;0,D361&lt;=1),317,""))))))))))))))))))))),"")))*3+(J359*90)</f>
        <v>#NUM!</v>
      </c>
      <c r="M362" s="507" t="str">
        <f>CONCATENATE(K362, K361)</f>
        <v>+Inflat.-P</v>
      </c>
      <c r="N362" s="206" t="s">
        <v>118</v>
      </c>
      <c r="O362" s="207"/>
      <c r="P362" s="207"/>
      <c r="Q362" s="208"/>
      <c r="R362" s="187"/>
      <c r="S362" s="209" t="s">
        <v>118</v>
      </c>
      <c r="T362" s="201" t="s">
        <v>117</v>
      </c>
      <c r="U362" s="210" t="s">
        <v>26</v>
      </c>
      <c r="V362" s="192"/>
      <c r="W362" s="203"/>
      <c r="X362" s="203"/>
      <c r="Y362" s="210"/>
      <c r="Z362" s="192"/>
      <c r="AA362" s="203"/>
      <c r="AB362" s="203"/>
      <c r="AC362" s="210"/>
      <c r="AD362" s="192"/>
      <c r="AE362" s="203"/>
      <c r="AF362" s="203"/>
      <c r="AG362" s="210"/>
      <c r="AH362" s="193"/>
      <c r="AI362" s="203"/>
      <c r="AJ362" s="203"/>
      <c r="AK362" s="376"/>
      <c r="AL362" s="348" t="s">
        <v>148</v>
      </c>
      <c r="AM362" s="354">
        <f>IF(SUM(N360:N368)=SUM(S360:S368), 0, SUM(N360:N368)-SUM(S360:S368))</f>
        <v>0</v>
      </c>
      <c r="AN362" s="354"/>
      <c r="AO362" s="354"/>
      <c r="AP362" s="354"/>
      <c r="AQ362" s="350">
        <f>AM362+AN362+AO362+AP362</f>
        <v>0</v>
      </c>
      <c r="AR362" s="769"/>
      <c r="AS362" s="769"/>
      <c r="AT362" s="769"/>
      <c r="BM362" s="335"/>
    </row>
    <row r="363" spans="1:65" ht="22.25" customHeight="1">
      <c r="A363" s="181">
        <f t="shared" si="121"/>
        <v>45292</v>
      </c>
      <c r="B363" s="484" t="e">
        <f>MONTH(I360)</f>
        <v>#NUM!</v>
      </c>
      <c r="C363" s="489" t="s">
        <v>158</v>
      </c>
      <c r="D363" s="522" t="e">
        <f>D361+1</f>
        <v>#NUM!</v>
      </c>
      <c r="E363" s="211" t="e">
        <f>DATE(YEAR(E362),MONTH(E362),DAY(E362)+1)</f>
        <v>#NUM!</v>
      </c>
      <c r="F363" s="212" t="e">
        <f t="shared" si="132"/>
        <v>#NUM!</v>
      </c>
      <c r="G363" s="213" t="e">
        <f t="shared" si="133"/>
        <v>#NUM!</v>
      </c>
      <c r="H363" s="212" t="e">
        <f t="shared" si="134"/>
        <v>#NUM!</v>
      </c>
      <c r="I363" s="214" t="str">
        <f>IF(D360&lt;&gt;0,"-1T","")</f>
        <v/>
      </c>
      <c r="J363" s="215" t="e">
        <f>DATE($B365,I364,$B361)</f>
        <v>#NUM!</v>
      </c>
      <c r="K363" s="506" t="str">
        <f t="shared" si="125"/>
        <v/>
      </c>
      <c r="L363" s="470"/>
      <c r="M363" s="473" t="e">
        <f ca="1">SUM(J360-E364)&amp;" Tage"</f>
        <v>#NUM!</v>
      </c>
      <c r="N363" s="216"/>
      <c r="O363" s="217"/>
      <c r="P363" s="188"/>
      <c r="Q363" s="217"/>
      <c r="R363" s="189"/>
      <c r="S363" s="190"/>
      <c r="T363" s="190"/>
      <c r="U363" s="191"/>
      <c r="V363" s="192"/>
      <c r="W363" s="190"/>
      <c r="X363" s="190"/>
      <c r="Y363" s="191"/>
      <c r="Z363" s="192"/>
      <c r="AA363" s="190"/>
      <c r="AB363" s="190"/>
      <c r="AC363" s="191"/>
      <c r="AD363" s="192"/>
      <c r="AE363" s="190"/>
      <c r="AF363" s="190"/>
      <c r="AG363" s="191"/>
      <c r="AH363" s="193"/>
      <c r="AI363" s="190"/>
      <c r="AJ363" s="190"/>
      <c r="AK363" s="374"/>
      <c r="AL363" s="348"/>
      <c r="AM363" s="354"/>
      <c r="AN363" s="354"/>
      <c r="AO363" s="354"/>
      <c r="AP363" s="354"/>
      <c r="AQ363" s="350"/>
      <c r="AR363" s="769"/>
      <c r="AS363" s="769"/>
      <c r="AT363" s="769"/>
      <c r="BM363" s="335"/>
    </row>
    <row r="364" spans="1:65" ht="22.25" customHeight="1">
      <c r="A364" s="181">
        <f t="shared" si="121"/>
        <v>45292</v>
      </c>
      <c r="B364" s="485"/>
      <c r="C364" s="490"/>
      <c r="D364" s="521"/>
      <c r="E364" s="218" t="e">
        <f>DATE(YEAR(E363),MONTH(E363)+3,DAY(E363)-1)</f>
        <v>#NUM!</v>
      </c>
      <c r="F364" s="212" t="e">
        <f t="shared" si="132"/>
        <v>#NUM!</v>
      </c>
      <c r="G364" s="213" t="e">
        <f t="shared" si="133"/>
        <v>#NUM!</v>
      </c>
      <c r="H364" s="212" t="e">
        <f t="shared" si="134"/>
        <v>#NUM!</v>
      </c>
      <c r="I364" s="219">
        <f>MAX(I365:I368)</f>
        <v>9</v>
      </c>
      <c r="J364" s="220" t="e">
        <f>DATE(YEAR(J363)+1,MONTH(J363),DAY(J363))</f>
        <v>#NUM!</v>
      </c>
      <c r="K364" s="501" t="str">
        <f t="shared" si="125"/>
        <v>+Inflat.-P</v>
      </c>
      <c r="L364" s="508" t="e">
        <f>IF(M359="Stufe A",IF(AND(L360="Auswahl treffen",D363&gt;=0,D363&lt;=1000),J359,IF(AND(L360="Vermögend und ambulant",D363&gt;8,D363&lt;=1000),130,IF(AND(L360="Vermögend und ambulant",D363&gt;4,D363&lt;=8),158,IF(AND(L360="Vermögend und ambulant",D363&gt;2,D363&lt;=4),192,IF(AND(L360="Vermögend und ambulant",D363&gt;1,D363&lt;=2),208,IF(AND(L360="Vermögend und ambulant",D363&gt;0,D363&lt;=1),298,IF(AND(L360="Vermögend und stationär",D363&gt;8,D363&lt;=1000),78,IF(AND(L360="Vermögend und stationär",D363&gt;4,D363&lt;=8),91,IF(AND(L360="Vermögend und stationär",D363&gt;2,D363&lt;=4),140,IF(AND(L360="Vermögend und stationär",D363&gt;1,D363&lt;=2),158,IF(AND(L360="Vermögend und stationär",D363&gt;0,D363&lt;=1),200,IF(AND(L360="Mittellos und ambulant",D363&gt;8,D363&lt;=1000),105,IF(AND(L360="Mittellos und ambulant",D363&gt;4,D363&lt;=8),122,IF(AND(L360="Mittellos und ambulant",D363&gt;2,D363&lt;=4),151,IF(AND(L360="Mittellos und ambulant",D363&gt;1,D363&lt;=2),170,IF(AND(L360="Mittellos und ambulant",D363&gt;0,D363&lt;=1),208,IF(AND(L360="Mittellos und stationär",D363&gt;8,D363&lt;=1000),62,IF(AND(L360="Mittellos und stationär",D363&gt;4,D363&lt;=8),87,IF(AND(L360="Mittellos und stationär",D363&gt;2,D363&lt;=4),124,IF(AND(L360="Mittellos und stationär",D363&gt;1,D363&lt;=2),129,IF(AND(L360="Mittellos und stationär",D363&gt;0,D363&lt;=1),194,""))))))))))))))))))))),IF(M359="Stufe B",IF(AND(L360="Auswahl treffen",D363&gt;=0,D363&lt;=1000),J359,IF(AND(L360="Vermögend und ambulant",D363&gt;8,D363&lt;=1000),161,IF(AND(L360="Vermögend und ambulant",D363&gt;4,D363&lt;=8),196,IF(AND(L360="Vermögend und ambulant",D363&gt;2,D363&lt;=4),238,IF(AND(L360="Vermögend und ambulant",D363&gt;1,D363&lt;=2),258,IF(AND(L360="Vermögend und ambulant",D363&gt;0,D363&lt;=1),370,IF(AND(L360="Vermögend und stationär",D363&gt;8,D363&lt;=1000),96,IF(AND(L360="Vermögend und stationär",D363&gt;4,D363&lt;=8),113,IF(AND(L360="Vermögend und stationär",D363&gt;2,D363&lt;=4),174,IF(AND(L360="Vermögend und stationär",D363&gt;1,D363&lt;=2),196,IF(AND(L360="Vermögend und stationär",D363&gt;0,D363&lt;=1),249,IF(AND(L360="Mittellos und ambulant",D363&gt;8,D363&lt;=1000),130,IF(AND(L360="Mittellos und ambulant",D363&gt;4,D363&lt;=8),151,IF(AND(L360="Mittellos und ambulant",D363&gt;2,D363&lt;=4),188,IF(AND(L360="Mittellos und ambulant",D363&gt;1,D363&lt;=2),211,IF(AND(L360="Mittellos und ambulant",D363&gt;0,D363&lt;=1),258,IF(AND(L360="Mittellos und stationär",D363&gt;8,D363&lt;=1000),78,IF(AND(L360="Mittellos und stationär",D363&gt;4,D363&lt;=8),107,IF(AND(L360="Mittellos und stationär",D363&gt;2,D363&lt;=4),154,IF(AND(L360="Mittellos und stationär",D363&gt;1,D363&lt;=2),158,IF(AND(L360="Mittellos und stationär",D363&gt;0,D363&lt;=1),241,""))))))))))))))))))))),IF(M359="Stufe C",IF(AND(L360="Auswahl treffen",D363&gt;=0,D363&lt;=1000),J359,IF(AND(L360="Vermögend und ambulant",D363&gt;8,D363&lt;=1000),211,IF(AND(L360="Vermögend und ambulant",D363&gt;4,D363&lt;=8),257,IF(AND(L360="Vermögend und ambulant",D363&gt;2,D363&lt;=4),312,IF(AND(L360="Vermögend und ambulant",D363&gt;1,D363&lt;=2),339,IF(AND(L360="Vermögend und ambulant",D363&gt;0,D363&lt;=1),486,IF(AND(L360="Vermögend und stationär",D363&gt;8,D363&lt;=1000),127,IF(AND(L360="Vermögend und stationär",D363&gt;4,D363&lt;=8),149,IF(AND(L360="Vermögend und stationär",D363&gt;2,D363&lt;=4),229,IF(AND(L360="Vermögend und stationär",D363&gt;1,D363&lt;=2),257,IF(AND(L360="Vermögend und stationär",D363&gt;0,D363&lt;=1),327,IF(AND(L360="Mittellos und ambulant",D363&gt;8,D363&lt;=1000),171,IF(AND(L360="Mittellos und ambulant",D363&gt;4,D363&lt;=8),198,IF(AND(L360="Mittellos und ambulant",D363&gt;2,D363&lt;=4),246,IF(AND(L360="Mittellos und ambulant",D363&gt;1,D363&lt;=2),277,IF(AND(L360="Mittellos und ambulant",D363&gt;0,D363&lt;=1),339,IF(AND(L360="Mittellos und stationär",D363&gt;8,D363&lt;=1000),102,IF(AND(L360="Mittellos und stationär",D363&gt;4,D363&lt;=8),141,IF(AND(L360="Mittellos und stationär",D363&gt;2,D363&lt;=4),202,IF(AND(L360="Mittellos und stationär",D363&gt;1,D363&lt;=2),208,IF(AND(L360="Mittellos und stationär",D363&gt;0,D363&lt;=1),317,""))))))))))))))))))))),"")))*3+(J359*90)</f>
        <v>#NUM!</v>
      </c>
      <c r="M364" s="507" t="str">
        <f>CONCATENATE(K364, K363)</f>
        <v>+Inflat.-P</v>
      </c>
      <c r="N364" s="216"/>
      <c r="O364" s="188" t="s">
        <v>118</v>
      </c>
      <c r="P364" s="188"/>
      <c r="Q364" s="221"/>
      <c r="R364" s="199"/>
      <c r="S364" s="190"/>
      <c r="T364" s="190"/>
      <c r="U364" s="191"/>
      <c r="V364" s="192"/>
      <c r="W364" s="222" t="s">
        <v>118</v>
      </c>
      <c r="X364" s="222" t="s">
        <v>117</v>
      </c>
      <c r="Y364" s="191" t="s">
        <v>26</v>
      </c>
      <c r="Z364" s="192"/>
      <c r="AA364" s="190"/>
      <c r="AB364" s="190"/>
      <c r="AC364" s="191"/>
      <c r="AD364" s="192"/>
      <c r="AE364" s="190"/>
      <c r="AF364" s="190"/>
      <c r="AG364" s="191"/>
      <c r="AH364" s="193"/>
      <c r="AI364" s="190"/>
      <c r="AJ364" s="190"/>
      <c r="AK364" s="374"/>
      <c r="AL364" s="348" t="s">
        <v>149</v>
      </c>
      <c r="AM364" s="354"/>
      <c r="AN364" s="354">
        <f>IF(SUM(O360:O368)=SUM(W360:W368), 0, SUM(O360:O368)-SUM(W360:W368))</f>
        <v>0</v>
      </c>
      <c r="AO364" s="354"/>
      <c r="AP364" s="354"/>
      <c r="AQ364" s="350">
        <f>AM364+AN364+AO364+AP364</f>
        <v>0</v>
      </c>
      <c r="AR364" s="769"/>
      <c r="AS364" s="769"/>
      <c r="AT364" s="769"/>
      <c r="BM364" s="335"/>
    </row>
    <row r="365" spans="1:65" ht="22.25" customHeight="1">
      <c r="A365" s="181">
        <f t="shared" si="121"/>
        <v>45292</v>
      </c>
      <c r="B365" s="484">
        <f>YEAR($A366)-1</f>
        <v>2023</v>
      </c>
      <c r="C365" s="489" t="s">
        <v>158</v>
      </c>
      <c r="D365" s="520" t="e">
        <f>D363+1</f>
        <v>#NUM!</v>
      </c>
      <c r="E365" s="194" t="e">
        <f>DATE(YEAR(E364),MONTH(E364),DAY(E364)+1)</f>
        <v>#NUM!</v>
      </c>
      <c r="F365" s="195" t="e">
        <f t="shared" si="132"/>
        <v>#NUM!</v>
      </c>
      <c r="G365" s="196" t="e">
        <f t="shared" si="133"/>
        <v>#NUM!</v>
      </c>
      <c r="H365" s="195" t="e">
        <f t="shared" si="134"/>
        <v>#NUM!</v>
      </c>
      <c r="I365" s="197">
        <f>IF(J367&lt;13,J367,"")</f>
        <v>9</v>
      </c>
      <c r="J365" s="224">
        <f>G360</f>
        <v>0</v>
      </c>
      <c r="K365" s="506" t="str">
        <f t="shared" si="125"/>
        <v/>
      </c>
      <c r="L365" s="471"/>
      <c r="M365" s="473" t="e">
        <f ca="1">SUM(J360-E366)&amp;" Tage"</f>
        <v>#NUM!</v>
      </c>
      <c r="N365" s="200"/>
      <c r="O365" s="201"/>
      <c r="P365" s="201"/>
      <c r="Q365" s="202"/>
      <c r="R365" s="189"/>
      <c r="S365" s="203"/>
      <c r="T365" s="203"/>
      <c r="U365" s="204"/>
      <c r="V365" s="192"/>
      <c r="W365" s="203"/>
      <c r="X365" s="203"/>
      <c r="Y365" s="204"/>
      <c r="Z365" s="192"/>
      <c r="AA365" s="203"/>
      <c r="AB365" s="203"/>
      <c r="AC365" s="204"/>
      <c r="AD365" s="192"/>
      <c r="AE365" s="203"/>
      <c r="AF365" s="203"/>
      <c r="AG365" s="204"/>
      <c r="AH365" s="193"/>
      <c r="AI365" s="203"/>
      <c r="AJ365" s="203"/>
      <c r="AK365" s="375"/>
      <c r="AL365" s="348"/>
      <c r="AM365" s="354"/>
      <c r="AN365" s="354"/>
      <c r="AO365" s="354"/>
      <c r="AP365" s="354"/>
      <c r="AQ365" s="350"/>
      <c r="AR365" s="769"/>
      <c r="AS365" s="769"/>
      <c r="AT365" s="769"/>
      <c r="BM365" s="335"/>
    </row>
    <row r="366" spans="1:65" ht="22.25" customHeight="1">
      <c r="A366" s="181">
        <f t="shared" si="121"/>
        <v>45292</v>
      </c>
      <c r="B366" s="485"/>
      <c r="C366" s="490"/>
      <c r="D366" s="521"/>
      <c r="E366" s="194" t="e">
        <f>DATE(YEAR(E365),MONTH(E365)+3,DAY(E365)-1)</f>
        <v>#NUM!</v>
      </c>
      <c r="F366" s="195" t="e">
        <f t="shared" si="132"/>
        <v>#NUM!</v>
      </c>
      <c r="G366" s="196" t="e">
        <f t="shared" si="133"/>
        <v>#NUM!</v>
      </c>
      <c r="H366" s="195" t="e">
        <f t="shared" si="134"/>
        <v>#NUM!</v>
      </c>
      <c r="I366" s="244">
        <f>IF(J368&lt;13,J368,"")</f>
        <v>6</v>
      </c>
      <c r="J366" s="224">
        <f>J365+3</f>
        <v>3</v>
      </c>
      <c r="K366" s="501" t="str">
        <f t="shared" si="125"/>
        <v>+Inflat.-P</v>
      </c>
      <c r="L366" s="511" t="e">
        <f>IF(M359="Stufe A",IF(AND(L360="Auswahl treffen",D365&gt;=0,D365&lt;=1000),J359,IF(AND(L360="Vermögend und ambulant",D365&gt;8,D365&lt;=1000),130,IF(AND(L360="Vermögend und ambulant",D365&gt;4,D365&lt;=8),158,IF(AND(L360="Vermögend und ambulant",D365&gt;2,D365&lt;=4),192,IF(AND(L360="Vermögend und ambulant",D365&gt;1,D365&lt;=2),208,IF(AND(L360="Vermögend und ambulant",D365&gt;0,D365&lt;=1),298,IF(AND(L360="Vermögend und stationär",D365&gt;8,D365&lt;=1000),78,IF(AND(L360="Vermögend und stationär",D365&gt;4,D365&lt;=8),91,IF(AND(L360="Vermögend und stationär",D365&gt;2,D365&lt;=4),140,IF(AND(L360="Vermögend und stationär",D365&gt;1,D365&lt;=2),158,IF(AND(L360="Vermögend und stationär",D365&gt;0,D365&lt;=1),200,IF(AND(L360="Mittellos und ambulant",D365&gt;8,D365&lt;=1000),105,IF(AND(L360="Mittellos und ambulant",D365&gt;4,D365&lt;=8),122,IF(AND(L360="Mittellos und ambulant",D365&gt;2,D365&lt;=4),151,IF(AND(L360="Mittellos und ambulant",D365&gt;1,D365&lt;=2),170,IF(AND(L360="Mittellos und ambulant",D365&gt;0,D365&lt;=1),208,IF(AND(L360="Mittellos und stationär",D365&gt;8,D365&lt;=1000),62,IF(AND(L360="Mittellos und stationär",D365&gt;4,D365&lt;=8),87,IF(AND(L360="Mittellos und stationär",D365&gt;2,D365&lt;=4),124,IF(AND(L360="Mittellos und stationär",D365&gt;1,D365&lt;=2),129,IF(AND(L360="Mittellos und stationär",D365&gt;0,D365&lt;=1),194,""))))))))))))))))))))),IF(M359="Stufe B",IF(AND(L360="Auswahl treffen",D365&gt;=0,D365&lt;=1000),J359,IF(AND(L360="Vermögend und ambulant",D365&gt;8,D365&lt;=1000),161,IF(AND(L360="Vermögend und ambulant",D365&gt;4,D365&lt;=8),196,IF(AND(L360="Vermögend und ambulant",D365&gt;2,D365&lt;=4),238,IF(AND(L360="Vermögend und ambulant",D365&gt;1,D365&lt;=2),258,IF(AND(L360="Vermögend und ambulant",D365&gt;0,D365&lt;=1),370,IF(AND(L360="Vermögend und stationär",D365&gt;8,D365&lt;=1000),96,IF(AND(L360="Vermögend und stationär",D365&gt;4,D365&lt;=8),113,IF(AND(L360="Vermögend und stationär",D365&gt;2,D365&lt;=4),174,IF(AND(L360="Vermögend und stationär",D365&gt;1,D365&lt;=2),196,IF(AND(L360="Vermögend und stationär",D365&gt;0,D365&lt;=1),249,IF(AND(L360="Mittellos und ambulant",D365&gt;8,D365&lt;=1000),130,IF(AND(L360="Mittellos und ambulant",D365&gt;4,D365&lt;=8),151,IF(AND(L360="Mittellos und ambulant",D365&gt;2,D365&lt;=4),188,IF(AND(L360="Mittellos und ambulant",D365&gt;1,D365&lt;=2),211,IF(AND(L360="Mittellos und ambulant",D365&gt;0,D365&lt;=1),258,IF(AND(L360="Mittellos und stationär",D365&gt;8,D365&lt;=1000),78,IF(AND(L360="Mittellos und stationär",D365&gt;4,D365&lt;=8),107,IF(AND(L360="Mittellos und stationär",D365&gt;2,D365&lt;=4),154,IF(AND(L360="Mittellos und stationär",D365&gt;1,D365&lt;=2),158,IF(AND(L360="Mittellos und stationär",D365&gt;0,D365&lt;=1),241,""))))))))))))))))))))),IF(M359="Stufe C",IF(AND(L360="Auswahl treffen",D365&gt;=0,D365&lt;=1000),J359,IF(AND(L360="Vermögend und ambulant",D365&gt;8,D365&lt;=1000),211,IF(AND(L360="Vermögend und ambulant",D365&gt;4,D365&lt;=8),257,IF(AND(L360="Vermögend und ambulant",D365&gt;2,D365&lt;=4),312,IF(AND(L360="Vermögend und ambulant",D365&gt;1,D365&lt;=2),339,IF(AND(L360="Vermögend und ambulant",D365&gt;0,D365&lt;=1),486,IF(AND(L360="Vermögend und stationär",D365&gt;8,D365&lt;=1000),127,IF(AND(L360="Vermögend und stationär",D365&gt;4,D365&lt;=8),149,IF(AND(L360="Vermögend und stationär",D365&gt;2,D365&lt;=4),229,IF(AND(L360="Vermögend und stationär",D365&gt;1,D365&lt;=2),257,IF(AND(L360="Vermögend und stationär",D365&gt;0,D365&lt;=1),327,IF(AND(L360="Mittellos und ambulant",D365&gt;8,D365&lt;=1000),171,IF(AND(L360="Mittellos und ambulant",D365&gt;4,D365&lt;=8),198,IF(AND(L360="Mittellos und ambulant",D365&gt;2,D365&lt;=4),246,IF(AND(L360="Mittellos und ambulant",D365&gt;1,D365&lt;=2),277,IF(AND(L360="Mittellos und ambulant",D365&gt;0,D365&lt;=1),339,IF(AND(L360="Mittellos und stationär",D365&gt;8,D365&lt;=1000),102,IF(AND(L360="Mittellos und stationär",D365&gt;4,D365&lt;=8),141,IF(AND(L360="Mittellos und stationär",D365&gt;2,D365&lt;=4),202,IF(AND(L360="Mittellos und stationär",D365&gt;1,D365&lt;=2),208,IF(AND(L360="Mittellos und stationär",D365&gt;0,D365&lt;=1),317,""))))))))))))))))))))),"")))*3+(J359*90)</f>
        <v>#NUM!</v>
      </c>
      <c r="M366" s="507" t="str">
        <f>CONCATENATE(K366, K365)</f>
        <v>+Inflat.-P</v>
      </c>
      <c r="N366" s="206"/>
      <c r="O366" s="207"/>
      <c r="P366" s="206" t="s">
        <v>118</v>
      </c>
      <c r="Q366" s="226"/>
      <c r="R366" s="189"/>
      <c r="S366" s="203"/>
      <c r="T366" s="203"/>
      <c r="U366" s="204"/>
      <c r="V366" s="192"/>
      <c r="W366" s="203"/>
      <c r="X366" s="203"/>
      <c r="Y366" s="204"/>
      <c r="Z366" s="192"/>
      <c r="AA366" s="209" t="s">
        <v>118</v>
      </c>
      <c r="AB366" s="209" t="s">
        <v>117</v>
      </c>
      <c r="AC366" s="204" t="s">
        <v>26</v>
      </c>
      <c r="AD366" s="192"/>
      <c r="AE366" s="203"/>
      <c r="AF366" s="203"/>
      <c r="AG366" s="204"/>
      <c r="AH366" s="193"/>
      <c r="AI366" s="203"/>
      <c r="AJ366" s="203"/>
      <c r="AK366" s="375"/>
      <c r="AL366" s="348" t="s">
        <v>150</v>
      </c>
      <c r="AM366" s="354"/>
      <c r="AN366" s="354"/>
      <c r="AO366" s="354">
        <f>IF(SUM(P360:P368)=SUM(AA360:AA368), 0, SUM(P360:P368)-SUM(AA360:AA368))</f>
        <v>0</v>
      </c>
      <c r="AP366" s="354"/>
      <c r="AQ366" s="350">
        <f>AM366+AN366+AO366+AP366</f>
        <v>0</v>
      </c>
      <c r="AR366" s="769"/>
      <c r="AS366" s="769"/>
      <c r="AT366" s="769"/>
      <c r="BM366" s="335"/>
    </row>
    <row r="367" spans="1:65" ht="22.25" customHeight="1">
      <c r="A367" s="181">
        <f t="shared" si="121"/>
        <v>45292</v>
      </c>
      <c r="B367" s="486"/>
      <c r="C367" s="489" t="s">
        <v>158</v>
      </c>
      <c r="D367" s="522" t="e">
        <f>D365+1</f>
        <v>#NUM!</v>
      </c>
      <c r="E367" s="211" t="e">
        <f>DATE(YEAR(E366),MONTH(E366),DAY(E366)+1)</f>
        <v>#NUM!</v>
      </c>
      <c r="F367" s="227" t="e">
        <f t="shared" si="132"/>
        <v>#NUM!</v>
      </c>
      <c r="G367" s="228" t="e">
        <f t="shared" si="133"/>
        <v>#NUM!</v>
      </c>
      <c r="H367" s="227" t="e">
        <f t="shared" si="134"/>
        <v>#NUM!</v>
      </c>
      <c r="I367" s="231">
        <f>IF(J366&lt;13,J366,"")</f>
        <v>3</v>
      </c>
      <c r="J367" s="230">
        <f>J368+3</f>
        <v>9</v>
      </c>
      <c r="K367" s="506" t="str">
        <f t="shared" si="125"/>
        <v/>
      </c>
      <c r="L367" s="471"/>
      <c r="M367" s="473" t="e">
        <f ca="1">SUM(J360-E368)&amp;" Tage"</f>
        <v>#NUM!</v>
      </c>
      <c r="N367" s="216"/>
      <c r="O367" s="188"/>
      <c r="P367" s="188"/>
      <c r="Q367" s="217"/>
      <c r="R367" s="189"/>
      <c r="S367" s="190"/>
      <c r="T367" s="190"/>
      <c r="U367" s="191"/>
      <c r="V367" s="192"/>
      <c r="W367" s="190"/>
      <c r="X367" s="190"/>
      <c r="Y367" s="191"/>
      <c r="Z367" s="192"/>
      <c r="AA367" s="190"/>
      <c r="AB367" s="190"/>
      <c r="AC367" s="191"/>
      <c r="AD367" s="192"/>
      <c r="AE367" s="190"/>
      <c r="AF367" s="190"/>
      <c r="AG367" s="191"/>
      <c r="AH367" s="193"/>
      <c r="AI367" s="190"/>
      <c r="AJ367" s="190"/>
      <c r="AK367" s="374"/>
      <c r="AL367" s="348"/>
      <c r="AM367" s="354"/>
      <c r="AN367" s="354"/>
      <c r="AO367" s="354"/>
      <c r="AP367" s="354"/>
      <c r="AQ367" s="350"/>
      <c r="AR367" s="769"/>
      <c r="AS367" s="769"/>
      <c r="AT367" s="769"/>
      <c r="BM367" s="335"/>
    </row>
    <row r="368" spans="1:65" ht="22.25" customHeight="1">
      <c r="A368" s="181">
        <f t="shared" si="121"/>
        <v>45292</v>
      </c>
      <c r="B368" s="485"/>
      <c r="C368" s="490"/>
      <c r="D368" s="521"/>
      <c r="E368" s="218" t="e">
        <f>DATE(YEAR(E367),MONTH(E367)+3,DAY(E367)-1)</f>
        <v>#NUM!</v>
      </c>
      <c r="F368" s="227" t="e">
        <f t="shared" si="132"/>
        <v>#NUM!</v>
      </c>
      <c r="G368" s="228" t="e">
        <f t="shared" si="133"/>
        <v>#NUM!</v>
      </c>
      <c r="H368" s="227" t="e">
        <f t="shared" si="134"/>
        <v>#NUM!</v>
      </c>
      <c r="I368" s="231">
        <f>IF(J365&lt;13,J365,"")</f>
        <v>0</v>
      </c>
      <c r="J368" s="230">
        <f>J366+3</f>
        <v>6</v>
      </c>
      <c r="K368" s="501" t="str">
        <f t="shared" si="125"/>
        <v>+Inflat.-P</v>
      </c>
      <c r="L368" s="508" t="e">
        <f>IF(M359="Stufe A",IF(AND(L360="Auswahl treffen",D367&gt;=0,D367&lt;=1000),J359,IF(AND(L360="Vermögend und ambulant",D367&gt;8,D367&lt;=1000),130,IF(AND(L360="Vermögend und ambulant",D367&gt;4,D367&lt;=8),158,IF(AND(L360="Vermögend und ambulant",D367&gt;2,D367&lt;=4),192,IF(AND(L360="Vermögend und ambulant",D367&gt;1,D367&lt;=2),208,IF(AND(L360="Vermögend und ambulant",D367&gt;0,D367&lt;=1),298,IF(AND(L360="Vermögend und stationär",D367&gt;8,D367&lt;=1000),78,IF(AND(L360="Vermögend und stationär",D367&gt;4,D367&lt;=8),91,IF(AND(L360="Vermögend und stationär",D367&gt;2,D367&lt;=4),140,IF(AND(L360="Vermögend und stationär",D367&gt;1,D367&lt;=2),158,IF(AND(L360="Vermögend und stationär",D367&gt;0,D367&lt;=1),200,IF(AND(L360="Mittellos und ambulant",D367&gt;8,D367&lt;=1000),105,IF(AND(L360="Mittellos und ambulant",D367&gt;4,D367&lt;=8),122,IF(AND(L360="Mittellos und ambulant",D367&gt;2,D367&lt;=4),151,IF(AND(L360="Mittellos und ambulant",D367&gt;1,D367&lt;=2),170,IF(AND(L360="Mittellos und ambulant",D367&gt;0,D367&lt;=1),208,IF(AND(L360="Mittellos und stationär",D367&gt;8,D367&lt;=1000),62,IF(AND(L360="Mittellos und stationär",D367&gt;4,D367&lt;=8),87,IF(AND(L360="Mittellos und stationär",D367&gt;2,D367&lt;=4),124,IF(AND(L360="Mittellos und stationär",D367&gt;1,D367&lt;=2),129,IF(AND(L360="Mittellos und stationär",D367&gt;0,D367&lt;=1),194,""))))))))))))))))))))),IF(M359="Stufe B",IF(AND(L360="Auswahl treffen",D367&gt;=0,D367&lt;=1000),J359,IF(AND(L360="Vermögend und ambulant",D367&gt;8,D367&lt;=1000),161,IF(AND(L360="Vermögend und ambulant",D367&gt;4,D367&lt;=8),196,IF(AND(L360="Vermögend und ambulant",D367&gt;2,D367&lt;=4),238,IF(AND(L360="Vermögend und ambulant",D367&gt;1,D367&lt;=2),258,IF(AND(L360="Vermögend und ambulant",D367&gt;0,D367&lt;=1),370,IF(AND(L360="Vermögend und stationär",D367&gt;8,D367&lt;=1000),96,IF(AND(L360="Vermögend und stationär",D367&gt;4,D367&lt;=8),113,IF(AND(L360="Vermögend und stationär",D367&gt;2,D367&lt;=4),174,IF(AND(L360="Vermögend und stationär",D367&gt;1,D367&lt;=2),196,IF(AND(L360="Vermögend und stationär",D367&gt;0,D367&lt;=1),249,IF(AND(L360="Mittellos und ambulant",D367&gt;8,D367&lt;=1000),130,IF(AND(L360="Mittellos und ambulant",D367&gt;4,D367&lt;=8),151,IF(AND(L360="Mittellos und ambulant",D367&gt;2,D367&lt;=4),188,IF(AND(L360="Mittellos und ambulant",D367&gt;1,D367&lt;=2),211,IF(AND(L360="Mittellos und ambulant",D367&gt;0,D367&lt;=1),258,IF(AND(L360="Mittellos und stationär",D367&gt;8,D367&lt;=1000),78,IF(AND(L360="Mittellos und stationär",D367&gt;4,D367&lt;=8),107,IF(AND(L360="Mittellos und stationär",D367&gt;2,D367&lt;=4),154,IF(AND(L360="Mittellos und stationär",D367&gt;1,D367&lt;=2),158,IF(AND(L360="Mittellos und stationär",D367&gt;0,D367&lt;=1),241,""))))))))))))))))))))),IF(M359="Stufe C",IF(AND(L360="Auswahl treffen",D367&gt;=0,D367&lt;=1000),J359,IF(AND(L360="Vermögend und ambulant",D367&gt;8,D367&lt;=1000),211,IF(AND(L360="Vermögend und ambulant",D367&gt;4,D367&lt;=8),257,IF(AND(L360="Vermögend und ambulant",D367&gt;2,D367&lt;=4),312,IF(AND(L360="Vermögend und ambulant",D367&gt;1,D367&lt;=2),339,IF(AND(L360="Vermögend und ambulant",D367&gt;0,D367&lt;=1),486,IF(AND(L360="Vermögend und stationär",D367&gt;8,D367&lt;=1000),127,IF(AND(L360="Vermögend und stationär",D367&gt;4,D367&lt;=8),149,IF(AND(L360="Vermögend und stationär",D367&gt;2,D367&lt;=4),229,IF(AND(L360="Vermögend und stationär",D367&gt;1,D367&lt;=2),257,IF(AND(L360="Vermögend und stationär",D367&gt;0,D367&lt;=1),327,IF(AND(L360="Mittellos und ambulant",D367&gt;8,D367&lt;=1000),171,IF(AND(L360="Mittellos und ambulant",D367&gt;4,D367&lt;=8),198,IF(AND(L360="Mittellos und ambulant",D367&gt;2,D367&lt;=4),246,IF(AND(L360="Mittellos und ambulant",D367&gt;1,D367&lt;=2),277,IF(AND(L360="Mittellos und ambulant",D367&gt;0,D367&lt;=1),339,IF(AND(L360="Mittellos und stationär",D367&gt;8,D367&lt;=1000),102,IF(AND(L360="Mittellos und stationär",D367&gt;4,D367&lt;=8),141,IF(AND(L360="Mittellos und stationär",D367&gt;2,D367&lt;=4),202,IF(AND(L360="Mittellos und stationär",D367&gt;1,D367&lt;=2),208,IF(AND(L360="Mittellos und stationär",D367&gt;0,D367&lt;=1),317,""))))))))))))))))))))),"")))*3+(J359*90)</f>
        <v>#NUM!</v>
      </c>
      <c r="M368" s="507" t="str">
        <f>CONCATENATE(K368, K367)</f>
        <v>+Inflat.-P</v>
      </c>
      <c r="N368" s="216"/>
      <c r="O368" s="188"/>
      <c r="P368" s="188"/>
      <c r="Q368" s="217" t="s">
        <v>118</v>
      </c>
      <c r="R368" s="189"/>
      <c r="S368" s="190"/>
      <c r="T368" s="190"/>
      <c r="U368" s="191"/>
      <c r="V368" s="192"/>
      <c r="W368" s="190"/>
      <c r="X368" s="190"/>
      <c r="Y368" s="191"/>
      <c r="Z368" s="192"/>
      <c r="AA368" s="190"/>
      <c r="AB368" s="190"/>
      <c r="AC368" s="191"/>
      <c r="AD368" s="192"/>
      <c r="AE368" s="190" t="s">
        <v>118</v>
      </c>
      <c r="AF368" s="190" t="s">
        <v>117</v>
      </c>
      <c r="AG368" s="191" t="s">
        <v>26</v>
      </c>
      <c r="AH368" s="193"/>
      <c r="AI368" s="190" t="s">
        <v>118</v>
      </c>
      <c r="AJ368" s="190" t="s">
        <v>117</v>
      </c>
      <c r="AK368" s="374" t="s">
        <v>26</v>
      </c>
      <c r="AL368" s="348" t="s">
        <v>151</v>
      </c>
      <c r="AM368" s="354"/>
      <c r="AN368" s="354"/>
      <c r="AO368" s="354"/>
      <c r="AP368" s="354">
        <f>IF(SUM(Q360:Q368)=SUM(AE360:AE368,AI360:AI368), 0, SUM(Q360:Q368)-SUM(AE360:AE368,AI360:AI368))</f>
        <v>0</v>
      </c>
      <c r="AQ368" s="350">
        <f>AM368+AN368+AO368+AP368</f>
        <v>0</v>
      </c>
      <c r="AR368" s="769"/>
      <c r="AS368" s="769"/>
      <c r="AT368" s="769"/>
      <c r="BM368" s="335"/>
    </row>
    <row r="369" spans="1:65" ht="22" customHeight="1">
      <c r="A369" s="181">
        <f t="shared" si="121"/>
        <v>45292</v>
      </c>
      <c r="B369" s="232" t="s">
        <v>74</v>
      </c>
      <c r="C369" s="233" t="s">
        <v>75</v>
      </c>
      <c r="D369" s="234" t="s">
        <v>76</v>
      </c>
      <c r="E369" s="235" t="s">
        <v>11</v>
      </c>
      <c r="F369" s="235" t="s">
        <v>4</v>
      </c>
      <c r="G369" s="235" t="s">
        <v>5</v>
      </c>
      <c r="H369" s="235" t="s">
        <v>6</v>
      </c>
      <c r="I369" s="236" t="s">
        <v>77</v>
      </c>
      <c r="J369" s="306"/>
      <c r="K369" s="501" t="str">
        <f t="shared" si="125"/>
        <v/>
      </c>
      <c r="L369" s="306" t="str">
        <f>IFERROR(VLOOKUP(B370,'Aktuelle Einnahmen'!A2:J104,10,0),"")</f>
        <v/>
      </c>
      <c r="M369" s="510" t="str">
        <f>M359</f>
        <v>Stufe C</v>
      </c>
      <c r="N369" s="237"/>
      <c r="O369" s="238"/>
      <c r="P369" s="238"/>
      <c r="Q369" s="239"/>
      <c r="R369" s="240"/>
      <c r="S369" s="241"/>
      <c r="T369" s="241"/>
      <c r="U369" s="242"/>
      <c r="V369" s="243"/>
      <c r="W369" s="241"/>
      <c r="X369" s="241"/>
      <c r="Y369" s="242"/>
      <c r="Z369" s="243"/>
      <c r="AA369" s="241"/>
      <c r="AB369" s="241"/>
      <c r="AC369" s="242"/>
      <c r="AD369" s="243"/>
      <c r="AE369" s="241"/>
      <c r="AF369" s="241"/>
      <c r="AG369" s="242"/>
      <c r="AH369" s="240"/>
      <c r="AI369" s="241"/>
      <c r="AJ369" s="241"/>
      <c r="AK369" s="377"/>
      <c r="AL369" s="347"/>
      <c r="AM369" s="353"/>
      <c r="AN369" s="353"/>
      <c r="AO369" s="353"/>
      <c r="AP369" s="353"/>
      <c r="AQ369" s="349"/>
      <c r="AR369" s="768"/>
      <c r="AS369" s="768"/>
      <c r="AT369" s="768"/>
      <c r="BM369" s="335"/>
    </row>
    <row r="370" spans="1:65" ht="23" customHeight="1">
      <c r="A370" s="181">
        <f t="shared" si="121"/>
        <v>45292</v>
      </c>
      <c r="B370" s="182">
        <v>37</v>
      </c>
      <c r="C370" s="245">
        <f>IFERROR(VLOOKUP($B370,'Aktuelle Einnahmen'!A2:G104,3,0),"")</f>
        <v>0</v>
      </c>
      <c r="D370" s="246">
        <f>IFERROR(VLOOKUP($B370,'Aktuelle Einnahmen'!A2:G104,2,0),"")</f>
        <v>0</v>
      </c>
      <c r="E370" s="247">
        <f>IFERROR(VLOOKUP($B370,'Aktuelle Einnahmen'!A2:G104,4,0),"")</f>
        <v>0</v>
      </c>
      <c r="F370" s="94">
        <f>IFERROR(VLOOKUP($B370,'Aktuelle Einnahmen'!A2:G104,5,0),"")</f>
        <v>0</v>
      </c>
      <c r="G370" s="94">
        <f>IFERROR(VLOOKUP($B370,'Aktuelle Einnahmen'!A2:G104,6,0),"")</f>
        <v>0</v>
      </c>
      <c r="H370" s="94">
        <f>IFERROR(VLOOKUP($B370,'Aktuelle Einnahmen'!A2:G104,7,0),"")</f>
        <v>0</v>
      </c>
      <c r="I370" s="186" t="e">
        <f>DATE(H370,G370,F370)</f>
        <v>#NUM!</v>
      </c>
      <c r="J370" s="472">
        <f ca="1">J360</f>
        <v>45475</v>
      </c>
      <c r="K370" s="506" t="str">
        <f t="shared" si="125"/>
        <v>+Inflat.-P</v>
      </c>
      <c r="L370" s="1262" t="str">
        <f>IFERROR(VLOOKUP(B370,'Aktuelle Einnahmen'!A12:I114,9,0),"")</f>
        <v>Auswahl treffen</v>
      </c>
      <c r="M370" s="1263"/>
      <c r="N370" s="261"/>
      <c r="O370" s="261"/>
      <c r="P370" s="261"/>
      <c r="Q370" s="261"/>
      <c r="R370" s="189"/>
      <c r="S370" s="190"/>
      <c r="T370" s="190"/>
      <c r="U370" s="191"/>
      <c r="V370" s="192"/>
      <c r="W370" s="190"/>
      <c r="X370" s="190"/>
      <c r="Y370" s="191"/>
      <c r="Z370" s="192"/>
      <c r="AA370" s="190"/>
      <c r="AB370" s="190"/>
      <c r="AC370" s="191"/>
      <c r="AD370" s="192"/>
      <c r="AE370" s="190"/>
      <c r="AF370" s="190"/>
      <c r="AG370" s="191"/>
      <c r="AH370" s="193"/>
      <c r="AI370" s="190"/>
      <c r="AJ370" s="190"/>
      <c r="AK370" s="374"/>
      <c r="AL370" s="348"/>
      <c r="AM370" s="354"/>
      <c r="AN370" s="354"/>
      <c r="AO370" s="354"/>
      <c r="AP370" s="354"/>
      <c r="AQ370" s="350"/>
      <c r="AR370" s="769"/>
      <c r="AS370" s="769"/>
      <c r="AT370" s="769"/>
      <c r="BM370" s="335"/>
    </row>
    <row r="371" spans="1:65" ht="22.25" customHeight="1">
      <c r="A371" s="181">
        <f t="shared" si="121"/>
        <v>45292</v>
      </c>
      <c r="B371" s="484" t="e">
        <f>DAY(I370)</f>
        <v>#NUM!</v>
      </c>
      <c r="C371" s="489" t="s">
        <v>158</v>
      </c>
      <c r="D371" s="520" t="e">
        <f>(I371*4)+J371/3+1</f>
        <v>#NUM!</v>
      </c>
      <c r="E371" s="194" t="e">
        <f>J373+1</f>
        <v>#NUM!</v>
      </c>
      <c r="F371" s="195" t="e">
        <f t="shared" ref="F371:F378" si="135">DAY(E371)</f>
        <v>#NUM!</v>
      </c>
      <c r="G371" s="196" t="e">
        <f t="shared" ref="G371:G378" si="136">MONTH(E371)</f>
        <v>#NUM!</v>
      </c>
      <c r="H371" s="195" t="e">
        <f t="shared" ref="H371:H378" si="137">YEAR(E371)</f>
        <v>#NUM!</v>
      </c>
      <c r="I371" s="197" t="e">
        <f>H371-(H370+2000)</f>
        <v>#NUM!</v>
      </c>
      <c r="J371" s="198" t="e">
        <f>G371-G370</f>
        <v>#NUM!</v>
      </c>
      <c r="K371" s="506" t="str">
        <f>L369</f>
        <v/>
      </c>
      <c r="L371" s="469"/>
      <c r="M371" s="473" t="e">
        <f ca="1">SUM(J370-E372)&amp;" Tage"</f>
        <v>#NUM!</v>
      </c>
      <c r="N371" s="206"/>
      <c r="O371" s="201"/>
      <c r="P371" s="201"/>
      <c r="Q371" s="202"/>
      <c r="R371" s="189"/>
      <c r="S371" s="203"/>
      <c r="T371" s="203"/>
      <c r="U371" s="204"/>
      <c r="V371" s="192"/>
      <c r="W371" s="203"/>
      <c r="X371" s="203"/>
      <c r="Y371" s="204"/>
      <c r="Z371" s="192"/>
      <c r="AA371" s="203"/>
      <c r="AB371" s="203"/>
      <c r="AC371" s="204"/>
      <c r="AD371" s="192"/>
      <c r="AE371" s="203"/>
      <c r="AF371" s="203"/>
      <c r="AG371" s="204"/>
      <c r="AH371" s="193"/>
      <c r="AI371" s="203"/>
      <c r="AJ371" s="203"/>
      <c r="AK371" s="375"/>
      <c r="AL371" s="348"/>
      <c r="AM371" s="354"/>
      <c r="AN371" s="354"/>
      <c r="AO371" s="354"/>
      <c r="AP371" s="354"/>
      <c r="AQ371" s="350"/>
      <c r="AR371" s="769"/>
      <c r="AS371" s="769"/>
      <c r="AT371" s="769"/>
      <c r="BM371" s="335"/>
    </row>
    <row r="372" spans="1:65" ht="22.25" customHeight="1">
      <c r="A372" s="181">
        <f t="shared" si="121"/>
        <v>45292</v>
      </c>
      <c r="B372" s="485"/>
      <c r="C372" s="490"/>
      <c r="D372" s="521"/>
      <c r="E372" s="194" t="e">
        <f>DATE(YEAR(E371),MONTH(E371)+3,DAY(E371)-1)</f>
        <v>#NUM!</v>
      </c>
      <c r="F372" s="195" t="e">
        <f t="shared" si="135"/>
        <v>#NUM!</v>
      </c>
      <c r="G372" s="196" t="e">
        <f t="shared" si="136"/>
        <v>#NUM!</v>
      </c>
      <c r="H372" s="195" t="e">
        <f t="shared" si="137"/>
        <v>#NUM!</v>
      </c>
      <c r="I372" s="244">
        <v>-1</v>
      </c>
      <c r="J372" s="198" t="e">
        <f>F371-F370</f>
        <v>#NUM!</v>
      </c>
      <c r="K372" s="506" t="str">
        <f t="shared" si="125"/>
        <v>+Inflat.-P</v>
      </c>
      <c r="L372" s="511" t="e">
        <f>IF(M369="Stufe A",IF(AND(L370="Auswahl treffen",D371&gt;=0,D371&lt;=1000),J369,IF(AND(L370="Vermögend und ambulant",D371&gt;8,D371&lt;=1000),130,IF(AND(L370="Vermögend und ambulant",D371&gt;4,D371&lt;=8),158,IF(AND(L370="Vermögend und ambulant",D371&gt;2,D371&lt;=4),192,IF(AND(L370="Vermögend und ambulant",D371&gt;1,D371&lt;=2),208,IF(AND(L370="Vermögend und ambulant",D371&gt;0,D371&lt;=1),298,IF(AND(L370="Vermögend und stationär",D371&gt;8,D371&lt;=1000),78,IF(AND(L370="Vermögend und stationär",D371&gt;4,D371&lt;=8),91,IF(AND(L370="Vermögend und stationär",D371&gt;2,D371&lt;=4),140,IF(AND(L370="Vermögend und stationär",D371&gt;1,D371&lt;=2),158,IF(AND(L370="Vermögend und stationär",D371&gt;0,D371&lt;=1),200,IF(AND(L370="Mittellos und ambulant",D371&gt;8,D371&lt;=1000),105,IF(AND(L370="Mittellos und ambulant",D371&gt;4,D371&lt;=8),122,IF(AND(L370="Mittellos und ambulant",D371&gt;2,D371&lt;=4),151,IF(AND(L370="Mittellos und ambulant",D371&gt;1,D371&lt;=2),170,IF(AND(L370="Mittellos und ambulant",D371&gt;0,D371&lt;=1),208,IF(AND(L370="Mittellos und stationär",D371&gt;8,D371&lt;=1000),62,IF(AND(L370="Mittellos und stationär",D371&gt;4,D371&lt;=8),87,IF(AND(L370="Mittellos und stationär",D371&gt;2,D371&lt;=4),124,IF(AND(L370="Mittellos und stationär",D371&gt;1,D371&lt;=2),129,IF(AND(L370="Mittellos und stationär",D371&gt;0,D371&lt;=1),194,""))))))))))))))))))))),IF(M369="Stufe B",IF(AND(L370="Auswahl treffen",D371&gt;=0,D371&lt;=1000),J369,IF(AND(L370="Vermögend und ambulant",D371&gt;8,D371&lt;=1000),161,IF(AND(L370="Vermögend und ambulant",D371&gt;4,D371&lt;=8),196,IF(AND(L370="Vermögend und ambulant",D371&gt;2,D371&lt;=4),238,IF(AND(L370="Vermögend und ambulant",D371&gt;1,D371&lt;=2),258,IF(AND(L370="Vermögend und ambulant",D371&gt;0,D371&lt;=1),370,IF(AND(L370="Vermögend und stationär",D371&gt;8,D371&lt;=1000),96,IF(AND(L370="Vermögend und stationär",D371&gt;4,D371&lt;=8),113,IF(AND(L370="Vermögend und stationär",D371&gt;2,D371&lt;=4),174,IF(AND(L370="Vermögend und stationär",D371&gt;1,D371&lt;=2),196,IF(AND(L370="Vermögend und stationär",D371&gt;0,D371&lt;=1),249,IF(AND(L370="Mittellos und ambulant",D371&gt;8,D371&lt;=1000),130,IF(AND(L370="Mittellos und ambulant",D371&gt;4,D371&lt;=8),151,IF(AND(L370="Mittellos und ambulant",D371&gt;2,D371&lt;=4),188,IF(AND(L370="Mittellos und ambulant",D371&gt;1,D371&lt;=2),211,IF(AND(L370="Mittellos und ambulant",D371&gt;0,D371&lt;=1),258,IF(AND(L370="Mittellos und stationär",D371&gt;8,D371&lt;=1000),78,IF(AND(L370="Mittellos und stationär",D371&gt;4,D371&lt;=8),107,IF(AND(L370="Mittellos und stationär",D371&gt;2,D371&lt;=4),154,IF(AND(L370="Mittellos und stationär",D371&gt;1,D371&lt;=2),158,IF(AND(L370="Mittellos und stationär",D371&gt;0,D371&lt;=1),241,""))))))))))))))))))))),IF(M369="Stufe C",IF(AND(L370="Auswahl treffen",D371&gt;=0,D371&lt;=1000),J369,IF(AND(L370="Vermögend und ambulant",D371&gt;8,D371&lt;=1000),211,IF(AND(L370="Vermögend und ambulant",D371&gt;4,D371&lt;=8),257,IF(AND(L370="Vermögend und ambulant",D371&gt;2,D371&lt;=4),312,IF(AND(L370="Vermögend und ambulant",D371&gt;1,D371&lt;=2),339,IF(AND(L370="Vermögend und ambulant",D371&gt;0,D371&lt;=1),486,IF(AND(L370="Vermögend und stationär",D371&gt;8,D371&lt;=1000),127,IF(AND(L370="Vermögend und stationär",D371&gt;4,D371&lt;=8),149,IF(AND(L370="Vermögend und stationär",D371&gt;2,D371&lt;=4),229,IF(AND(L370="Vermögend und stationär",D371&gt;1,D371&lt;=2),257,IF(AND(L370="Vermögend und stationär",D371&gt;0,D371&lt;=1),327,IF(AND(L370="Mittellos und ambulant",D371&gt;8,D371&lt;=1000),171,IF(AND(L370="Mittellos und ambulant",D371&gt;4,D371&lt;=8),198,IF(AND(L370="Mittellos und ambulant",D371&gt;2,D371&lt;=4),246,IF(AND(L370="Mittellos und ambulant",D371&gt;1,D371&lt;=2),277,IF(AND(L370="Mittellos und ambulant",D371&gt;0,D371&lt;=1),339,IF(AND(L370="Mittellos und stationär",D371&gt;8,D371&lt;=1000),102,IF(AND(L370="Mittellos und stationär",D371&gt;4,D371&lt;=8),141,IF(AND(L370="Mittellos und stationär",D371&gt;2,D371&lt;=4),202,IF(AND(L370="Mittellos und stationär",D371&gt;1,D371&lt;=2),208,IF(AND(L370="Mittellos und stationär",D371&gt;0,D371&lt;=1),317,""))))))))))))))))))))),"")))*3+(J369*90)</f>
        <v>#NUM!</v>
      </c>
      <c r="M372" s="507" t="str">
        <f>CONCATENATE(K372, K371)</f>
        <v>+Inflat.-P</v>
      </c>
      <c r="N372" s="206" t="s">
        <v>118</v>
      </c>
      <c r="O372" s="207"/>
      <c r="P372" s="207"/>
      <c r="Q372" s="208"/>
      <c r="R372" s="187"/>
      <c r="S372" s="209" t="s">
        <v>118</v>
      </c>
      <c r="T372" s="201" t="s">
        <v>117</v>
      </c>
      <c r="U372" s="210" t="s">
        <v>26</v>
      </c>
      <c r="V372" s="192"/>
      <c r="W372" s="203"/>
      <c r="X372" s="203"/>
      <c r="Y372" s="210"/>
      <c r="Z372" s="192"/>
      <c r="AA372" s="203"/>
      <c r="AB372" s="203"/>
      <c r="AC372" s="210"/>
      <c r="AD372" s="192"/>
      <c r="AE372" s="203"/>
      <c r="AF372" s="203"/>
      <c r="AG372" s="210"/>
      <c r="AH372" s="193"/>
      <c r="AI372" s="203"/>
      <c r="AJ372" s="203"/>
      <c r="AK372" s="376"/>
      <c r="AL372" s="348" t="s">
        <v>148</v>
      </c>
      <c r="AM372" s="354">
        <f>IF(SUM(N370:N378)=SUM(S370:S378), 0, SUM(N370:N378)-SUM(S370:S378))</f>
        <v>0</v>
      </c>
      <c r="AN372" s="354"/>
      <c r="AO372" s="354"/>
      <c r="AP372" s="354"/>
      <c r="AQ372" s="350">
        <f>AM372+AN372+AO372+AP372</f>
        <v>0</v>
      </c>
      <c r="AR372" s="769"/>
      <c r="AS372" s="769"/>
      <c r="AT372" s="769"/>
      <c r="BM372" s="335"/>
    </row>
    <row r="373" spans="1:65" ht="22.25" customHeight="1">
      <c r="A373" s="181">
        <f t="shared" si="121"/>
        <v>45292</v>
      </c>
      <c r="B373" s="484" t="e">
        <f>MONTH(I370)</f>
        <v>#NUM!</v>
      </c>
      <c r="C373" s="489" t="s">
        <v>158</v>
      </c>
      <c r="D373" s="522" t="e">
        <f>D371+1</f>
        <v>#NUM!</v>
      </c>
      <c r="E373" s="211" t="e">
        <f>DATE(YEAR(E372),MONTH(E372),DAY(E372)+1)</f>
        <v>#NUM!</v>
      </c>
      <c r="F373" s="212" t="e">
        <f t="shared" si="135"/>
        <v>#NUM!</v>
      </c>
      <c r="G373" s="213" t="e">
        <f t="shared" si="136"/>
        <v>#NUM!</v>
      </c>
      <c r="H373" s="212" t="e">
        <f t="shared" si="137"/>
        <v>#NUM!</v>
      </c>
      <c r="I373" s="214" t="str">
        <f>IF(D370&lt;&gt;0,"-1T","")</f>
        <v/>
      </c>
      <c r="J373" s="215" t="e">
        <f>DATE($B375,I374,$B371)</f>
        <v>#NUM!</v>
      </c>
      <c r="K373" s="501" t="str">
        <f t="shared" si="125"/>
        <v/>
      </c>
      <c r="L373" s="470"/>
      <c r="M373" s="473" t="e">
        <f ca="1">SUM(J370-E374)&amp;" Tage"</f>
        <v>#NUM!</v>
      </c>
      <c r="N373" s="216"/>
      <c r="O373" s="217"/>
      <c r="P373" s="188"/>
      <c r="Q373" s="217"/>
      <c r="R373" s="189"/>
      <c r="S373" s="190"/>
      <c r="T373" s="190"/>
      <c r="U373" s="191"/>
      <c r="V373" s="192"/>
      <c r="W373" s="190"/>
      <c r="X373" s="190"/>
      <c r="Y373" s="191"/>
      <c r="Z373" s="192"/>
      <c r="AA373" s="190"/>
      <c r="AB373" s="190"/>
      <c r="AC373" s="191"/>
      <c r="AD373" s="192"/>
      <c r="AE373" s="190"/>
      <c r="AF373" s="190"/>
      <c r="AG373" s="191"/>
      <c r="AH373" s="193"/>
      <c r="AI373" s="190"/>
      <c r="AJ373" s="190"/>
      <c r="AK373" s="374"/>
      <c r="AL373" s="348"/>
      <c r="AM373" s="354"/>
      <c r="AN373" s="354"/>
      <c r="AO373" s="354"/>
      <c r="AP373" s="354"/>
      <c r="AQ373" s="350"/>
      <c r="AR373" s="769"/>
      <c r="AS373" s="769"/>
      <c r="AT373" s="769"/>
      <c r="BM373" s="335"/>
    </row>
    <row r="374" spans="1:65" ht="22.25" customHeight="1">
      <c r="A374" s="181">
        <f t="shared" si="121"/>
        <v>45292</v>
      </c>
      <c r="B374" s="485"/>
      <c r="C374" s="490"/>
      <c r="D374" s="521"/>
      <c r="E374" s="218" t="e">
        <f>DATE(YEAR(E373),MONTH(E373)+3,DAY(E373)-1)</f>
        <v>#NUM!</v>
      </c>
      <c r="F374" s="212" t="e">
        <f t="shared" si="135"/>
        <v>#NUM!</v>
      </c>
      <c r="G374" s="213" t="e">
        <f t="shared" si="136"/>
        <v>#NUM!</v>
      </c>
      <c r="H374" s="212" t="e">
        <f t="shared" si="137"/>
        <v>#NUM!</v>
      </c>
      <c r="I374" s="219">
        <f>MAX(I375:I378)</f>
        <v>9</v>
      </c>
      <c r="J374" s="220" t="e">
        <f>DATE(YEAR(J373)+1,MONTH(J373),DAY(J373))</f>
        <v>#NUM!</v>
      </c>
      <c r="K374" s="506" t="str">
        <f t="shared" si="125"/>
        <v>+Inflat.-P</v>
      </c>
      <c r="L374" s="508" t="e">
        <f>IF(M369="Stufe A",IF(AND(L370="Auswahl treffen",D373&gt;=0,D373&lt;=1000),J369,IF(AND(L370="Vermögend und ambulant",D373&gt;8,D373&lt;=1000),130,IF(AND(L370="Vermögend und ambulant",D373&gt;4,D373&lt;=8),158,IF(AND(L370="Vermögend und ambulant",D373&gt;2,D373&lt;=4),192,IF(AND(L370="Vermögend und ambulant",D373&gt;1,D373&lt;=2),208,IF(AND(L370="Vermögend und ambulant",D373&gt;0,D373&lt;=1),298,IF(AND(L370="Vermögend und stationär",D373&gt;8,D373&lt;=1000),78,IF(AND(L370="Vermögend und stationär",D373&gt;4,D373&lt;=8),91,IF(AND(L370="Vermögend und stationär",D373&gt;2,D373&lt;=4),140,IF(AND(L370="Vermögend und stationär",D373&gt;1,D373&lt;=2),158,IF(AND(L370="Vermögend und stationär",D373&gt;0,D373&lt;=1),200,IF(AND(L370="Mittellos und ambulant",D373&gt;8,D373&lt;=1000),105,IF(AND(L370="Mittellos und ambulant",D373&gt;4,D373&lt;=8),122,IF(AND(L370="Mittellos und ambulant",D373&gt;2,D373&lt;=4),151,IF(AND(L370="Mittellos und ambulant",D373&gt;1,D373&lt;=2),170,IF(AND(L370="Mittellos und ambulant",D373&gt;0,D373&lt;=1),208,IF(AND(L370="Mittellos und stationär",D373&gt;8,D373&lt;=1000),62,IF(AND(L370="Mittellos und stationär",D373&gt;4,D373&lt;=8),87,IF(AND(L370="Mittellos und stationär",D373&gt;2,D373&lt;=4),124,IF(AND(L370="Mittellos und stationär",D373&gt;1,D373&lt;=2),129,IF(AND(L370="Mittellos und stationär",D373&gt;0,D373&lt;=1),194,""))))))))))))))))))))),IF(M369="Stufe B",IF(AND(L370="Auswahl treffen",D373&gt;=0,D373&lt;=1000),J369,IF(AND(L370="Vermögend und ambulant",D373&gt;8,D373&lt;=1000),161,IF(AND(L370="Vermögend und ambulant",D373&gt;4,D373&lt;=8),196,IF(AND(L370="Vermögend und ambulant",D373&gt;2,D373&lt;=4),238,IF(AND(L370="Vermögend und ambulant",D373&gt;1,D373&lt;=2),258,IF(AND(L370="Vermögend und ambulant",D373&gt;0,D373&lt;=1),370,IF(AND(L370="Vermögend und stationär",D373&gt;8,D373&lt;=1000),96,IF(AND(L370="Vermögend und stationär",D373&gt;4,D373&lt;=8),113,IF(AND(L370="Vermögend und stationär",D373&gt;2,D373&lt;=4),174,IF(AND(L370="Vermögend und stationär",D373&gt;1,D373&lt;=2),196,IF(AND(L370="Vermögend und stationär",D373&gt;0,D373&lt;=1),249,IF(AND(L370="Mittellos und ambulant",D373&gt;8,D373&lt;=1000),130,IF(AND(L370="Mittellos und ambulant",D373&gt;4,D373&lt;=8),151,IF(AND(L370="Mittellos und ambulant",D373&gt;2,D373&lt;=4),188,IF(AND(L370="Mittellos und ambulant",D373&gt;1,D373&lt;=2),211,IF(AND(L370="Mittellos und ambulant",D373&gt;0,D373&lt;=1),258,IF(AND(L370="Mittellos und stationär",D373&gt;8,D373&lt;=1000),78,IF(AND(L370="Mittellos und stationär",D373&gt;4,D373&lt;=8),107,IF(AND(L370="Mittellos und stationär",D373&gt;2,D373&lt;=4),154,IF(AND(L370="Mittellos und stationär",D373&gt;1,D373&lt;=2),158,IF(AND(L370="Mittellos und stationär",D373&gt;0,D373&lt;=1),241,""))))))))))))))))))))),IF(M369="Stufe C",IF(AND(L370="Auswahl treffen",D373&gt;=0,D373&lt;=1000),J369,IF(AND(L370="Vermögend und ambulant",D373&gt;8,D373&lt;=1000),211,IF(AND(L370="Vermögend und ambulant",D373&gt;4,D373&lt;=8),257,IF(AND(L370="Vermögend und ambulant",D373&gt;2,D373&lt;=4),312,IF(AND(L370="Vermögend und ambulant",D373&gt;1,D373&lt;=2),339,IF(AND(L370="Vermögend und ambulant",D373&gt;0,D373&lt;=1),486,IF(AND(L370="Vermögend und stationär",D373&gt;8,D373&lt;=1000),127,IF(AND(L370="Vermögend und stationär",D373&gt;4,D373&lt;=8),149,IF(AND(L370="Vermögend und stationär",D373&gt;2,D373&lt;=4),229,IF(AND(L370="Vermögend und stationär",D373&gt;1,D373&lt;=2),257,IF(AND(L370="Vermögend und stationär",D373&gt;0,D373&lt;=1),327,IF(AND(L370="Mittellos und ambulant",D373&gt;8,D373&lt;=1000),171,IF(AND(L370="Mittellos und ambulant",D373&gt;4,D373&lt;=8),198,IF(AND(L370="Mittellos und ambulant",D373&gt;2,D373&lt;=4),246,IF(AND(L370="Mittellos und ambulant",D373&gt;1,D373&lt;=2),277,IF(AND(L370="Mittellos und ambulant",D373&gt;0,D373&lt;=1),339,IF(AND(L370="Mittellos und stationär",D373&gt;8,D373&lt;=1000),102,IF(AND(L370="Mittellos und stationär",D373&gt;4,D373&lt;=8),141,IF(AND(L370="Mittellos und stationär",D373&gt;2,D373&lt;=4),202,IF(AND(L370="Mittellos und stationär",D373&gt;1,D373&lt;=2),208,IF(AND(L370="Mittellos und stationär",D373&gt;0,D373&lt;=1),317,""))))))))))))))))))))),"")))*3+(J369*90)</f>
        <v>#NUM!</v>
      </c>
      <c r="M374" s="507" t="str">
        <f>CONCATENATE(K374, K373)</f>
        <v>+Inflat.-P</v>
      </c>
      <c r="N374" s="216"/>
      <c r="O374" s="188" t="s">
        <v>118</v>
      </c>
      <c r="P374" s="188"/>
      <c r="Q374" s="221"/>
      <c r="R374" s="199"/>
      <c r="S374" s="190"/>
      <c r="T374" s="190"/>
      <c r="U374" s="191"/>
      <c r="V374" s="192"/>
      <c r="W374" s="222" t="s">
        <v>118</v>
      </c>
      <c r="X374" s="222" t="s">
        <v>117</v>
      </c>
      <c r="Y374" s="191" t="s">
        <v>26</v>
      </c>
      <c r="Z374" s="192"/>
      <c r="AA374" s="190"/>
      <c r="AB374" s="190"/>
      <c r="AC374" s="191"/>
      <c r="AD374" s="192"/>
      <c r="AE374" s="190"/>
      <c r="AF374" s="190"/>
      <c r="AG374" s="191"/>
      <c r="AH374" s="193"/>
      <c r="AI374" s="190"/>
      <c r="AJ374" s="190"/>
      <c r="AK374" s="374"/>
      <c r="AL374" s="348" t="s">
        <v>149</v>
      </c>
      <c r="AM374" s="354"/>
      <c r="AN374" s="354">
        <f>IF(SUM(O370:O378)=SUM(W370:W378), 0, SUM(O370:O378)-SUM(W370:W378))</f>
        <v>0</v>
      </c>
      <c r="AO374" s="354"/>
      <c r="AP374" s="354"/>
      <c r="AQ374" s="350">
        <f>AM374+AN374+AO374+AP374</f>
        <v>0</v>
      </c>
      <c r="AR374" s="769"/>
      <c r="AS374" s="769"/>
      <c r="AT374" s="769"/>
      <c r="BM374" s="335"/>
    </row>
    <row r="375" spans="1:65" ht="22.25" customHeight="1">
      <c r="A375" s="181">
        <f t="shared" si="121"/>
        <v>45292</v>
      </c>
      <c r="B375" s="484">
        <f>YEAR($A376)-1</f>
        <v>2023</v>
      </c>
      <c r="C375" s="489" t="s">
        <v>158</v>
      </c>
      <c r="D375" s="520" t="e">
        <f>D373+1</f>
        <v>#NUM!</v>
      </c>
      <c r="E375" s="194" t="e">
        <f>DATE(YEAR(E374),MONTH(E374),DAY(E374)+1)</f>
        <v>#NUM!</v>
      </c>
      <c r="F375" s="195" t="e">
        <f t="shared" si="135"/>
        <v>#NUM!</v>
      </c>
      <c r="G375" s="196" t="e">
        <f t="shared" si="136"/>
        <v>#NUM!</v>
      </c>
      <c r="H375" s="195" t="e">
        <f t="shared" si="137"/>
        <v>#NUM!</v>
      </c>
      <c r="I375" s="197">
        <f>IF(J377&lt;13,J377,"")</f>
        <v>9</v>
      </c>
      <c r="J375" s="224">
        <f>G370</f>
        <v>0</v>
      </c>
      <c r="K375" s="501" t="str">
        <f t="shared" si="125"/>
        <v/>
      </c>
      <c r="L375" s="471"/>
      <c r="M375" s="473" t="e">
        <f ca="1">SUM(J370-E376)&amp;" Tage"</f>
        <v>#NUM!</v>
      </c>
      <c r="N375" s="200"/>
      <c r="O375" s="201"/>
      <c r="P375" s="201"/>
      <c r="Q375" s="202"/>
      <c r="R375" s="189"/>
      <c r="S375" s="203"/>
      <c r="T375" s="203"/>
      <c r="U375" s="204"/>
      <c r="V375" s="192"/>
      <c r="W375" s="203"/>
      <c r="X375" s="203"/>
      <c r="Y375" s="204"/>
      <c r="Z375" s="192"/>
      <c r="AA375" s="203"/>
      <c r="AB375" s="203"/>
      <c r="AC375" s="204"/>
      <c r="AD375" s="192"/>
      <c r="AE375" s="203"/>
      <c r="AF375" s="203"/>
      <c r="AG375" s="204"/>
      <c r="AH375" s="193"/>
      <c r="AI375" s="203"/>
      <c r="AJ375" s="203"/>
      <c r="AK375" s="375"/>
      <c r="AL375" s="348"/>
      <c r="AM375" s="354"/>
      <c r="AN375" s="354"/>
      <c r="AO375" s="354"/>
      <c r="AP375" s="354"/>
      <c r="AQ375" s="350"/>
      <c r="AR375" s="769"/>
      <c r="AS375" s="769"/>
      <c r="AT375" s="769"/>
      <c r="BM375" s="335"/>
    </row>
    <row r="376" spans="1:65" ht="22.25" customHeight="1">
      <c r="A376" s="181">
        <f t="shared" si="121"/>
        <v>45292</v>
      </c>
      <c r="B376" s="485"/>
      <c r="C376" s="490"/>
      <c r="D376" s="521"/>
      <c r="E376" s="194" t="e">
        <f>DATE(YEAR(E375),MONTH(E375)+3,DAY(E375)-1)</f>
        <v>#NUM!</v>
      </c>
      <c r="F376" s="195" t="e">
        <f t="shared" si="135"/>
        <v>#NUM!</v>
      </c>
      <c r="G376" s="196" t="e">
        <f t="shared" si="136"/>
        <v>#NUM!</v>
      </c>
      <c r="H376" s="195" t="e">
        <f t="shared" si="137"/>
        <v>#NUM!</v>
      </c>
      <c r="I376" s="244">
        <f>IF(J378&lt;13,J378,"")</f>
        <v>6</v>
      </c>
      <c r="J376" s="224">
        <f>J375+3</f>
        <v>3</v>
      </c>
      <c r="K376" s="501" t="str">
        <f t="shared" si="125"/>
        <v>+Inflat.-P</v>
      </c>
      <c r="L376" s="511" t="e">
        <f>IF(M369="Stufe A",IF(AND(L370="Auswahl treffen",D375&gt;=0,D375&lt;=1000),J369,IF(AND(L370="Vermögend und ambulant",D375&gt;8,D375&lt;=1000),130,IF(AND(L370="Vermögend und ambulant",D375&gt;4,D375&lt;=8),158,IF(AND(L370="Vermögend und ambulant",D375&gt;2,D375&lt;=4),192,IF(AND(L370="Vermögend und ambulant",D375&gt;1,D375&lt;=2),208,IF(AND(L370="Vermögend und ambulant",D375&gt;0,D375&lt;=1),298,IF(AND(L370="Vermögend und stationär",D375&gt;8,D375&lt;=1000),78,IF(AND(L370="Vermögend und stationär",D375&gt;4,D375&lt;=8),91,IF(AND(L370="Vermögend und stationär",D375&gt;2,D375&lt;=4),140,IF(AND(L370="Vermögend und stationär",D375&gt;1,D375&lt;=2),158,IF(AND(L370="Vermögend und stationär",D375&gt;0,D375&lt;=1),200,IF(AND(L370="Mittellos und ambulant",D375&gt;8,D375&lt;=1000),105,IF(AND(L370="Mittellos und ambulant",D375&gt;4,D375&lt;=8),122,IF(AND(L370="Mittellos und ambulant",D375&gt;2,D375&lt;=4),151,IF(AND(L370="Mittellos und ambulant",D375&gt;1,D375&lt;=2),170,IF(AND(L370="Mittellos und ambulant",D375&gt;0,D375&lt;=1),208,IF(AND(L370="Mittellos und stationär",D375&gt;8,D375&lt;=1000),62,IF(AND(L370="Mittellos und stationär",D375&gt;4,D375&lt;=8),87,IF(AND(L370="Mittellos und stationär",D375&gt;2,D375&lt;=4),124,IF(AND(L370="Mittellos und stationär",D375&gt;1,D375&lt;=2),129,IF(AND(L370="Mittellos und stationär",D375&gt;0,D375&lt;=1),194,""))))))))))))))))))))),IF(M369="Stufe B",IF(AND(L370="Auswahl treffen",D375&gt;=0,D375&lt;=1000),J369,IF(AND(L370="Vermögend und ambulant",D375&gt;8,D375&lt;=1000),161,IF(AND(L370="Vermögend und ambulant",D375&gt;4,D375&lt;=8),196,IF(AND(L370="Vermögend und ambulant",D375&gt;2,D375&lt;=4),238,IF(AND(L370="Vermögend und ambulant",D375&gt;1,D375&lt;=2),258,IF(AND(L370="Vermögend und ambulant",D375&gt;0,D375&lt;=1),370,IF(AND(L370="Vermögend und stationär",D375&gt;8,D375&lt;=1000),96,IF(AND(L370="Vermögend und stationär",D375&gt;4,D375&lt;=8),113,IF(AND(L370="Vermögend und stationär",D375&gt;2,D375&lt;=4),174,IF(AND(L370="Vermögend und stationär",D375&gt;1,D375&lt;=2),196,IF(AND(L370="Vermögend und stationär",D375&gt;0,D375&lt;=1),249,IF(AND(L370="Mittellos und ambulant",D375&gt;8,D375&lt;=1000),130,IF(AND(L370="Mittellos und ambulant",D375&gt;4,D375&lt;=8),151,IF(AND(L370="Mittellos und ambulant",D375&gt;2,D375&lt;=4),188,IF(AND(L370="Mittellos und ambulant",D375&gt;1,D375&lt;=2),211,IF(AND(L370="Mittellos und ambulant",D375&gt;0,D375&lt;=1),258,IF(AND(L370="Mittellos und stationär",D375&gt;8,D375&lt;=1000),78,IF(AND(L370="Mittellos und stationär",D375&gt;4,D375&lt;=8),107,IF(AND(L370="Mittellos und stationär",D375&gt;2,D375&lt;=4),154,IF(AND(L370="Mittellos und stationär",D375&gt;1,D375&lt;=2),158,IF(AND(L370="Mittellos und stationär",D375&gt;0,D375&lt;=1),241,""))))))))))))))))))))),IF(M369="Stufe C",IF(AND(L370="Auswahl treffen",D375&gt;=0,D375&lt;=1000),J369,IF(AND(L370="Vermögend und ambulant",D375&gt;8,D375&lt;=1000),211,IF(AND(L370="Vermögend und ambulant",D375&gt;4,D375&lt;=8),257,IF(AND(L370="Vermögend und ambulant",D375&gt;2,D375&lt;=4),312,IF(AND(L370="Vermögend und ambulant",D375&gt;1,D375&lt;=2),339,IF(AND(L370="Vermögend und ambulant",D375&gt;0,D375&lt;=1),486,IF(AND(L370="Vermögend und stationär",D375&gt;8,D375&lt;=1000),127,IF(AND(L370="Vermögend und stationär",D375&gt;4,D375&lt;=8),149,IF(AND(L370="Vermögend und stationär",D375&gt;2,D375&lt;=4),229,IF(AND(L370="Vermögend und stationär",D375&gt;1,D375&lt;=2),257,IF(AND(L370="Vermögend und stationär",D375&gt;0,D375&lt;=1),327,IF(AND(L370="Mittellos und ambulant",D375&gt;8,D375&lt;=1000),171,IF(AND(L370="Mittellos und ambulant",D375&gt;4,D375&lt;=8),198,IF(AND(L370="Mittellos und ambulant",D375&gt;2,D375&lt;=4),246,IF(AND(L370="Mittellos und ambulant",D375&gt;1,D375&lt;=2),277,IF(AND(L370="Mittellos und ambulant",D375&gt;0,D375&lt;=1),339,IF(AND(L370="Mittellos und stationär",D375&gt;8,D375&lt;=1000),102,IF(AND(L370="Mittellos und stationär",D375&gt;4,D375&lt;=8),141,IF(AND(L370="Mittellos und stationär",D375&gt;2,D375&lt;=4),202,IF(AND(L370="Mittellos und stationär",D375&gt;1,D375&lt;=2),208,IF(AND(L370="Mittellos und stationär",D375&gt;0,D375&lt;=1),317,""))))))))))))))))))))),"")))*3+(J369*90)</f>
        <v>#NUM!</v>
      </c>
      <c r="M376" s="507" t="str">
        <f>CONCATENATE(K376, K375)</f>
        <v>+Inflat.-P</v>
      </c>
      <c r="N376" s="206"/>
      <c r="O376" s="207"/>
      <c r="P376" s="206" t="s">
        <v>118</v>
      </c>
      <c r="Q376" s="226"/>
      <c r="R376" s="189"/>
      <c r="S376" s="203"/>
      <c r="T376" s="203"/>
      <c r="U376" s="204"/>
      <c r="V376" s="192"/>
      <c r="W376" s="203"/>
      <c r="X376" s="203"/>
      <c r="Y376" s="204"/>
      <c r="Z376" s="192"/>
      <c r="AA376" s="209" t="s">
        <v>118</v>
      </c>
      <c r="AB376" s="209" t="s">
        <v>117</v>
      </c>
      <c r="AC376" s="204" t="s">
        <v>26</v>
      </c>
      <c r="AD376" s="192"/>
      <c r="AE376" s="203"/>
      <c r="AF376" s="203"/>
      <c r="AG376" s="204"/>
      <c r="AH376" s="193"/>
      <c r="AI376" s="203"/>
      <c r="AJ376" s="203"/>
      <c r="AK376" s="375"/>
      <c r="AL376" s="348" t="s">
        <v>150</v>
      </c>
      <c r="AM376" s="354"/>
      <c r="AN376" s="354"/>
      <c r="AO376" s="354">
        <f>IF(SUM(P370:P378)=SUM(AA370:AA378), 0, SUM(P370:P378)-SUM(AA370:AA378))</f>
        <v>0</v>
      </c>
      <c r="AP376" s="354"/>
      <c r="AQ376" s="350">
        <f>AM376+AN376+AO376+AP376</f>
        <v>0</v>
      </c>
      <c r="AR376" s="769"/>
      <c r="AS376" s="769"/>
      <c r="AT376" s="769"/>
      <c r="BM376" s="335"/>
    </row>
    <row r="377" spans="1:65" ht="22.25" customHeight="1">
      <c r="A377" s="181">
        <f t="shared" si="121"/>
        <v>45292</v>
      </c>
      <c r="B377" s="486"/>
      <c r="C377" s="489" t="s">
        <v>158</v>
      </c>
      <c r="D377" s="522" t="e">
        <f>D375+1</f>
        <v>#NUM!</v>
      </c>
      <c r="E377" s="211" t="e">
        <f>DATE(YEAR(E376),MONTH(E376),DAY(E376)+1)</f>
        <v>#NUM!</v>
      </c>
      <c r="F377" s="227" t="e">
        <f t="shared" si="135"/>
        <v>#NUM!</v>
      </c>
      <c r="G377" s="228" t="e">
        <f t="shared" si="136"/>
        <v>#NUM!</v>
      </c>
      <c r="H377" s="227" t="e">
        <f t="shared" si="137"/>
        <v>#NUM!</v>
      </c>
      <c r="I377" s="231">
        <f>IF(J376&lt;13,J376,"")</f>
        <v>3</v>
      </c>
      <c r="J377" s="230">
        <f>J378+3</f>
        <v>9</v>
      </c>
      <c r="K377" s="506" t="str">
        <f t="shared" si="125"/>
        <v/>
      </c>
      <c r="L377" s="471"/>
      <c r="M377" s="473" t="e">
        <f ca="1">SUM(J370-E378)&amp;" Tage"</f>
        <v>#NUM!</v>
      </c>
      <c r="N377" s="216"/>
      <c r="O377" s="188"/>
      <c r="P377" s="188"/>
      <c r="Q377" s="217"/>
      <c r="R377" s="189"/>
      <c r="S377" s="190"/>
      <c r="T377" s="190"/>
      <c r="U377" s="191"/>
      <c r="V377" s="192"/>
      <c r="W377" s="190"/>
      <c r="X377" s="190"/>
      <c r="Y377" s="191"/>
      <c r="Z377" s="192"/>
      <c r="AA377" s="190"/>
      <c r="AB377" s="190"/>
      <c r="AC377" s="191"/>
      <c r="AD377" s="192"/>
      <c r="AE377" s="190"/>
      <c r="AF377" s="190"/>
      <c r="AG377" s="191"/>
      <c r="AH377" s="193"/>
      <c r="AI377" s="190"/>
      <c r="AJ377" s="190"/>
      <c r="AK377" s="374"/>
      <c r="AL377" s="348"/>
      <c r="AM377" s="354"/>
      <c r="AN377" s="354"/>
      <c r="AO377" s="354"/>
      <c r="AP377" s="354"/>
      <c r="AQ377" s="350"/>
      <c r="AR377" s="769"/>
      <c r="AS377" s="769"/>
      <c r="AT377" s="769"/>
      <c r="BM377" s="335"/>
    </row>
    <row r="378" spans="1:65" ht="22.25" customHeight="1">
      <c r="A378" s="181">
        <f t="shared" si="121"/>
        <v>45292</v>
      </c>
      <c r="B378" s="485"/>
      <c r="C378" s="490"/>
      <c r="D378" s="521"/>
      <c r="E378" s="218" t="e">
        <f>DATE(YEAR(E377),MONTH(E377)+3,DAY(E377)-1)</f>
        <v>#NUM!</v>
      </c>
      <c r="F378" s="227" t="e">
        <f t="shared" si="135"/>
        <v>#NUM!</v>
      </c>
      <c r="G378" s="228" t="e">
        <f t="shared" si="136"/>
        <v>#NUM!</v>
      </c>
      <c r="H378" s="227" t="e">
        <f t="shared" si="137"/>
        <v>#NUM!</v>
      </c>
      <c r="I378" s="231">
        <f>IF(J375&lt;13,J375,"")</f>
        <v>0</v>
      </c>
      <c r="J378" s="230">
        <f>J376+3</f>
        <v>6</v>
      </c>
      <c r="K378" s="501" t="str">
        <f t="shared" si="125"/>
        <v>+Inflat.-P</v>
      </c>
      <c r="L378" s="508" t="e">
        <f>IF(M369="Stufe A",IF(AND(L370="Auswahl treffen",D377&gt;=0,D377&lt;=1000),J369,IF(AND(L370="Vermögend und ambulant",D377&gt;8,D377&lt;=1000),130,IF(AND(L370="Vermögend und ambulant",D377&gt;4,D377&lt;=8),158,IF(AND(L370="Vermögend und ambulant",D377&gt;2,D377&lt;=4),192,IF(AND(L370="Vermögend und ambulant",D377&gt;1,D377&lt;=2),208,IF(AND(L370="Vermögend und ambulant",D377&gt;0,D377&lt;=1),298,IF(AND(L370="Vermögend und stationär",D377&gt;8,D377&lt;=1000),78,IF(AND(L370="Vermögend und stationär",D377&gt;4,D377&lt;=8),91,IF(AND(L370="Vermögend und stationär",D377&gt;2,D377&lt;=4),140,IF(AND(L370="Vermögend und stationär",D377&gt;1,D377&lt;=2),158,IF(AND(L370="Vermögend und stationär",D377&gt;0,D377&lt;=1),200,IF(AND(L370="Mittellos und ambulant",D377&gt;8,D377&lt;=1000),105,IF(AND(L370="Mittellos und ambulant",D377&gt;4,D377&lt;=8),122,IF(AND(L370="Mittellos und ambulant",D377&gt;2,D377&lt;=4),151,IF(AND(L370="Mittellos und ambulant",D377&gt;1,D377&lt;=2),170,IF(AND(L370="Mittellos und ambulant",D377&gt;0,D377&lt;=1),208,IF(AND(L370="Mittellos und stationär",D377&gt;8,D377&lt;=1000),62,IF(AND(L370="Mittellos und stationär",D377&gt;4,D377&lt;=8),87,IF(AND(L370="Mittellos und stationär",D377&gt;2,D377&lt;=4),124,IF(AND(L370="Mittellos und stationär",D377&gt;1,D377&lt;=2),129,IF(AND(L370="Mittellos und stationär",D377&gt;0,D377&lt;=1),194,""))))))))))))))))))))),IF(M369="Stufe B",IF(AND(L370="Auswahl treffen",D377&gt;=0,D377&lt;=1000),J369,IF(AND(L370="Vermögend und ambulant",D377&gt;8,D377&lt;=1000),161,IF(AND(L370="Vermögend und ambulant",D377&gt;4,D377&lt;=8),196,IF(AND(L370="Vermögend und ambulant",D377&gt;2,D377&lt;=4),238,IF(AND(L370="Vermögend und ambulant",D377&gt;1,D377&lt;=2),258,IF(AND(L370="Vermögend und ambulant",D377&gt;0,D377&lt;=1),370,IF(AND(L370="Vermögend und stationär",D377&gt;8,D377&lt;=1000),96,IF(AND(L370="Vermögend und stationär",D377&gt;4,D377&lt;=8),113,IF(AND(L370="Vermögend und stationär",D377&gt;2,D377&lt;=4),174,IF(AND(L370="Vermögend und stationär",D377&gt;1,D377&lt;=2),196,IF(AND(L370="Vermögend und stationär",D377&gt;0,D377&lt;=1),249,IF(AND(L370="Mittellos und ambulant",D377&gt;8,D377&lt;=1000),130,IF(AND(L370="Mittellos und ambulant",D377&gt;4,D377&lt;=8),151,IF(AND(L370="Mittellos und ambulant",D377&gt;2,D377&lt;=4),188,IF(AND(L370="Mittellos und ambulant",D377&gt;1,D377&lt;=2),211,IF(AND(L370="Mittellos und ambulant",D377&gt;0,D377&lt;=1),258,IF(AND(L370="Mittellos und stationär",D377&gt;8,D377&lt;=1000),78,IF(AND(L370="Mittellos und stationär",D377&gt;4,D377&lt;=8),107,IF(AND(L370="Mittellos und stationär",D377&gt;2,D377&lt;=4),154,IF(AND(L370="Mittellos und stationär",D377&gt;1,D377&lt;=2),158,IF(AND(L370="Mittellos und stationär",D377&gt;0,D377&lt;=1),241,""))))))))))))))))))))),IF(M369="Stufe C",IF(AND(L370="Auswahl treffen",D377&gt;=0,D377&lt;=1000),J369,IF(AND(L370="Vermögend und ambulant",D377&gt;8,D377&lt;=1000),211,IF(AND(L370="Vermögend und ambulant",D377&gt;4,D377&lt;=8),257,IF(AND(L370="Vermögend und ambulant",D377&gt;2,D377&lt;=4),312,IF(AND(L370="Vermögend und ambulant",D377&gt;1,D377&lt;=2),339,IF(AND(L370="Vermögend und ambulant",D377&gt;0,D377&lt;=1),486,IF(AND(L370="Vermögend und stationär",D377&gt;8,D377&lt;=1000),127,IF(AND(L370="Vermögend und stationär",D377&gt;4,D377&lt;=8),149,IF(AND(L370="Vermögend und stationär",D377&gt;2,D377&lt;=4),229,IF(AND(L370="Vermögend und stationär",D377&gt;1,D377&lt;=2),257,IF(AND(L370="Vermögend und stationär",D377&gt;0,D377&lt;=1),327,IF(AND(L370="Mittellos und ambulant",D377&gt;8,D377&lt;=1000),171,IF(AND(L370="Mittellos und ambulant",D377&gt;4,D377&lt;=8),198,IF(AND(L370="Mittellos und ambulant",D377&gt;2,D377&lt;=4),246,IF(AND(L370="Mittellos und ambulant",D377&gt;1,D377&lt;=2),277,IF(AND(L370="Mittellos und ambulant",D377&gt;0,D377&lt;=1),339,IF(AND(L370="Mittellos und stationär",D377&gt;8,D377&lt;=1000),102,IF(AND(L370="Mittellos und stationär",D377&gt;4,D377&lt;=8),141,IF(AND(L370="Mittellos und stationär",D377&gt;2,D377&lt;=4),202,IF(AND(L370="Mittellos und stationär",D377&gt;1,D377&lt;=2),208,IF(AND(L370="Mittellos und stationär",D377&gt;0,D377&lt;=1),317,""))))))))))))))))))))),"")))*3+(J369*90)</f>
        <v>#NUM!</v>
      </c>
      <c r="M378" s="507" t="str">
        <f>CONCATENATE(K378, K377)</f>
        <v>+Inflat.-P</v>
      </c>
      <c r="N378" s="216"/>
      <c r="O378" s="188"/>
      <c r="P378" s="188"/>
      <c r="Q378" s="217" t="s">
        <v>118</v>
      </c>
      <c r="R378" s="189"/>
      <c r="S378" s="190"/>
      <c r="T378" s="190"/>
      <c r="U378" s="191"/>
      <c r="V378" s="192"/>
      <c r="W378" s="190"/>
      <c r="X378" s="190"/>
      <c r="Y378" s="191"/>
      <c r="Z378" s="192"/>
      <c r="AA378" s="190"/>
      <c r="AB378" s="190"/>
      <c r="AC378" s="191"/>
      <c r="AD378" s="192"/>
      <c r="AE378" s="190" t="s">
        <v>118</v>
      </c>
      <c r="AF378" s="190" t="s">
        <v>117</v>
      </c>
      <c r="AG378" s="191" t="s">
        <v>26</v>
      </c>
      <c r="AH378" s="193"/>
      <c r="AI378" s="190" t="s">
        <v>118</v>
      </c>
      <c r="AJ378" s="190" t="s">
        <v>117</v>
      </c>
      <c r="AK378" s="374" t="s">
        <v>26</v>
      </c>
      <c r="AL378" s="348" t="s">
        <v>151</v>
      </c>
      <c r="AM378" s="354"/>
      <c r="AN378" s="354"/>
      <c r="AO378" s="354"/>
      <c r="AP378" s="354">
        <f>IF(SUM(Q370:Q378)=SUM(AE370:AE378,AI370:AI378), 0, SUM(Q370:Q378)-SUM(AE370:AE378,AI370:AI378))</f>
        <v>0</v>
      </c>
      <c r="AQ378" s="350">
        <f>AM378+AN378+AO378+AP378</f>
        <v>0</v>
      </c>
      <c r="AR378" s="769"/>
      <c r="AS378" s="769"/>
      <c r="AT378" s="769"/>
      <c r="BM378" s="335"/>
    </row>
    <row r="379" spans="1:65" ht="22" customHeight="1">
      <c r="A379" s="181">
        <f t="shared" si="121"/>
        <v>45292</v>
      </c>
      <c r="B379" s="232" t="s">
        <v>74</v>
      </c>
      <c r="C379" s="233" t="s">
        <v>75</v>
      </c>
      <c r="D379" s="234" t="s">
        <v>76</v>
      </c>
      <c r="E379" s="235" t="s">
        <v>11</v>
      </c>
      <c r="F379" s="235" t="s">
        <v>4</v>
      </c>
      <c r="G379" s="235" t="s">
        <v>5</v>
      </c>
      <c r="H379" s="235" t="s">
        <v>6</v>
      </c>
      <c r="I379" s="236" t="s">
        <v>77</v>
      </c>
      <c r="J379" s="306"/>
      <c r="K379" s="506" t="str">
        <f t="shared" si="125"/>
        <v/>
      </c>
      <c r="L379" s="306" t="str">
        <f>IFERROR(VLOOKUP(B380,'Aktuelle Einnahmen'!A2:J104,10,0),"")</f>
        <v/>
      </c>
      <c r="M379" s="510" t="str">
        <f>M369</f>
        <v>Stufe C</v>
      </c>
      <c r="N379" s="237"/>
      <c r="O379" s="238"/>
      <c r="P379" s="238"/>
      <c r="Q379" s="239"/>
      <c r="R379" s="240"/>
      <c r="S379" s="241"/>
      <c r="T379" s="241"/>
      <c r="U379" s="242"/>
      <c r="V379" s="243"/>
      <c r="W379" s="241"/>
      <c r="X379" s="241"/>
      <c r="Y379" s="242"/>
      <c r="Z379" s="243"/>
      <c r="AA379" s="241"/>
      <c r="AB379" s="241"/>
      <c r="AC379" s="242"/>
      <c r="AD379" s="243"/>
      <c r="AE379" s="241"/>
      <c r="AF379" s="241"/>
      <c r="AG379" s="242"/>
      <c r="AH379" s="240"/>
      <c r="AI379" s="241"/>
      <c r="AJ379" s="241"/>
      <c r="AK379" s="377"/>
      <c r="AL379" s="347"/>
      <c r="AM379" s="353"/>
      <c r="AN379" s="353"/>
      <c r="AO379" s="353"/>
      <c r="AP379" s="353"/>
      <c r="AQ379" s="349"/>
      <c r="AR379" s="768"/>
      <c r="AS379" s="768"/>
      <c r="AT379" s="768"/>
      <c r="BM379" s="335"/>
    </row>
    <row r="380" spans="1:65" ht="23" customHeight="1">
      <c r="A380" s="181">
        <f t="shared" si="121"/>
        <v>45292</v>
      </c>
      <c r="B380" s="182">
        <v>38</v>
      </c>
      <c r="C380" s="245">
        <f>IFERROR(VLOOKUP($B380,'Aktuelle Einnahmen'!A2:G104,3,0),"")</f>
        <v>0</v>
      </c>
      <c r="D380" s="246">
        <f>IFERROR(VLOOKUP($B380,'Aktuelle Einnahmen'!A2:G104,2,0),"")</f>
        <v>0</v>
      </c>
      <c r="E380" s="247">
        <f>IFERROR(VLOOKUP($B380,'Aktuelle Einnahmen'!A2:G104,4,0),"")</f>
        <v>0</v>
      </c>
      <c r="F380" s="94">
        <f>IFERROR(VLOOKUP($B380,'Aktuelle Einnahmen'!A2:G104,5,0),"")</f>
        <v>0</v>
      </c>
      <c r="G380" s="94">
        <f>IFERROR(VLOOKUP($B380,'Aktuelle Einnahmen'!A2:G104,6,0),"")</f>
        <v>0</v>
      </c>
      <c r="H380" s="94">
        <f>IFERROR(VLOOKUP($B380,'Aktuelle Einnahmen'!A2:G104,7,0),"")</f>
        <v>0</v>
      </c>
      <c r="I380" s="186" t="e">
        <f>DATE(H380,G380,F380)</f>
        <v>#NUM!</v>
      </c>
      <c r="J380" s="472">
        <f ca="1">J370</f>
        <v>45475</v>
      </c>
      <c r="K380" s="501" t="str">
        <f t="shared" si="125"/>
        <v>+Inflat.-P</v>
      </c>
      <c r="L380" s="1262" t="str">
        <f>IFERROR(VLOOKUP(B380,'Aktuelle Einnahmen'!A12:I114,9,0),"")</f>
        <v>Auswahl treffen</v>
      </c>
      <c r="M380" s="1263"/>
      <c r="N380" s="261"/>
      <c r="O380" s="261"/>
      <c r="P380" s="261"/>
      <c r="Q380" s="261"/>
      <c r="R380" s="189"/>
      <c r="S380" s="190"/>
      <c r="T380" s="190"/>
      <c r="U380" s="191"/>
      <c r="V380" s="192"/>
      <c r="W380" s="190"/>
      <c r="X380" s="190"/>
      <c r="Y380" s="191"/>
      <c r="Z380" s="192"/>
      <c r="AA380" s="190"/>
      <c r="AB380" s="190"/>
      <c r="AC380" s="191"/>
      <c r="AD380" s="192"/>
      <c r="AE380" s="190"/>
      <c r="AF380" s="190"/>
      <c r="AG380" s="191"/>
      <c r="AH380" s="193"/>
      <c r="AI380" s="190"/>
      <c r="AJ380" s="190"/>
      <c r="AK380" s="374"/>
      <c r="AL380" s="348"/>
      <c r="AM380" s="354"/>
      <c r="AN380" s="354"/>
      <c r="AO380" s="354"/>
      <c r="AP380" s="354"/>
      <c r="AQ380" s="350"/>
      <c r="AR380" s="769"/>
      <c r="AS380" s="769"/>
      <c r="AT380" s="769"/>
      <c r="BM380" s="335"/>
    </row>
    <row r="381" spans="1:65" ht="22.25" customHeight="1">
      <c r="A381" s="181">
        <f t="shared" si="121"/>
        <v>45292</v>
      </c>
      <c r="B381" s="484" t="e">
        <f>DAY(I380)</f>
        <v>#NUM!</v>
      </c>
      <c r="C381" s="489" t="s">
        <v>158</v>
      </c>
      <c r="D381" s="520" t="e">
        <f>(I381*4)+J381/3+1</f>
        <v>#NUM!</v>
      </c>
      <c r="E381" s="194" t="e">
        <f>J383+1</f>
        <v>#NUM!</v>
      </c>
      <c r="F381" s="195" t="e">
        <f t="shared" ref="F381:F388" si="138">DAY(E381)</f>
        <v>#NUM!</v>
      </c>
      <c r="G381" s="196" t="e">
        <f t="shared" ref="G381:G388" si="139">MONTH(E381)</f>
        <v>#NUM!</v>
      </c>
      <c r="H381" s="195" t="e">
        <f t="shared" ref="H381:H388" si="140">YEAR(E381)</f>
        <v>#NUM!</v>
      </c>
      <c r="I381" s="197" t="e">
        <f>H381-(H380+2000)</f>
        <v>#NUM!</v>
      </c>
      <c r="J381" s="198" t="e">
        <f>G381-G380</f>
        <v>#NUM!</v>
      </c>
      <c r="K381" s="506" t="str">
        <f>L379</f>
        <v/>
      </c>
      <c r="L381" s="469"/>
      <c r="M381" s="473" t="e">
        <f ca="1">SUM(J380-E382)&amp;" Tage"</f>
        <v>#NUM!</v>
      </c>
      <c r="N381" s="206"/>
      <c r="O381" s="201"/>
      <c r="P381" s="201"/>
      <c r="Q381" s="202"/>
      <c r="R381" s="189"/>
      <c r="S381" s="203"/>
      <c r="T381" s="203"/>
      <c r="U381" s="204"/>
      <c r="V381" s="192"/>
      <c r="W381" s="203"/>
      <c r="X381" s="203"/>
      <c r="Y381" s="204"/>
      <c r="Z381" s="192"/>
      <c r="AA381" s="203"/>
      <c r="AB381" s="203"/>
      <c r="AC381" s="204"/>
      <c r="AD381" s="192"/>
      <c r="AE381" s="203"/>
      <c r="AF381" s="203"/>
      <c r="AG381" s="204"/>
      <c r="AH381" s="193"/>
      <c r="AI381" s="203"/>
      <c r="AJ381" s="203"/>
      <c r="AK381" s="375"/>
      <c r="AL381" s="348"/>
      <c r="AM381" s="354"/>
      <c r="AN381" s="354"/>
      <c r="AO381" s="354"/>
      <c r="AP381" s="354"/>
      <c r="AQ381" s="350"/>
      <c r="AR381" s="769"/>
      <c r="AS381" s="769"/>
      <c r="AT381" s="769"/>
      <c r="BM381" s="335"/>
    </row>
    <row r="382" spans="1:65" ht="22.25" customHeight="1">
      <c r="A382" s="181">
        <f t="shared" si="121"/>
        <v>45292</v>
      </c>
      <c r="B382" s="485"/>
      <c r="C382" s="490"/>
      <c r="D382" s="521"/>
      <c r="E382" s="194" t="e">
        <f>DATE(YEAR(E381),MONTH(E381)+3,DAY(E381)-1)</f>
        <v>#NUM!</v>
      </c>
      <c r="F382" s="195" t="e">
        <f t="shared" si="138"/>
        <v>#NUM!</v>
      </c>
      <c r="G382" s="196" t="e">
        <f t="shared" si="139"/>
        <v>#NUM!</v>
      </c>
      <c r="H382" s="195" t="e">
        <f t="shared" si="140"/>
        <v>#NUM!</v>
      </c>
      <c r="I382" s="244">
        <v>-1</v>
      </c>
      <c r="J382" s="198" t="e">
        <f>F381-F380</f>
        <v>#NUM!</v>
      </c>
      <c r="K382" s="501" t="str">
        <f t="shared" si="125"/>
        <v>+Inflat.-P</v>
      </c>
      <c r="L382" s="511" t="e">
        <f>IF(M379="Stufe A",IF(AND(L380="Auswahl treffen",D381&gt;=0,D381&lt;=1000),J379,IF(AND(L380="Vermögend und ambulant",D381&gt;8,D381&lt;=1000),130,IF(AND(L380="Vermögend und ambulant",D381&gt;4,D381&lt;=8),158,IF(AND(L380="Vermögend und ambulant",D381&gt;2,D381&lt;=4),192,IF(AND(L380="Vermögend und ambulant",D381&gt;1,D381&lt;=2),208,IF(AND(L380="Vermögend und ambulant",D381&gt;0,D381&lt;=1),298,IF(AND(L380="Vermögend und stationär",D381&gt;8,D381&lt;=1000),78,IF(AND(L380="Vermögend und stationär",D381&gt;4,D381&lt;=8),91,IF(AND(L380="Vermögend und stationär",D381&gt;2,D381&lt;=4),140,IF(AND(L380="Vermögend und stationär",D381&gt;1,D381&lt;=2),158,IF(AND(L380="Vermögend und stationär",D381&gt;0,D381&lt;=1),200,IF(AND(L380="Mittellos und ambulant",D381&gt;8,D381&lt;=1000),105,IF(AND(L380="Mittellos und ambulant",D381&gt;4,D381&lt;=8),122,IF(AND(L380="Mittellos und ambulant",D381&gt;2,D381&lt;=4),151,IF(AND(L380="Mittellos und ambulant",D381&gt;1,D381&lt;=2),170,IF(AND(L380="Mittellos und ambulant",D381&gt;0,D381&lt;=1),208,IF(AND(L380="Mittellos und stationär",D381&gt;8,D381&lt;=1000),62,IF(AND(L380="Mittellos und stationär",D381&gt;4,D381&lt;=8),87,IF(AND(L380="Mittellos und stationär",D381&gt;2,D381&lt;=4),124,IF(AND(L380="Mittellos und stationär",D381&gt;1,D381&lt;=2),129,IF(AND(L380="Mittellos und stationär",D381&gt;0,D381&lt;=1),194,""))))))))))))))))))))),IF(M379="Stufe B",IF(AND(L380="Auswahl treffen",D381&gt;=0,D381&lt;=1000),J379,IF(AND(L380="Vermögend und ambulant",D381&gt;8,D381&lt;=1000),161,IF(AND(L380="Vermögend und ambulant",D381&gt;4,D381&lt;=8),196,IF(AND(L380="Vermögend und ambulant",D381&gt;2,D381&lt;=4),238,IF(AND(L380="Vermögend und ambulant",D381&gt;1,D381&lt;=2),258,IF(AND(L380="Vermögend und ambulant",D381&gt;0,D381&lt;=1),370,IF(AND(L380="Vermögend und stationär",D381&gt;8,D381&lt;=1000),96,IF(AND(L380="Vermögend und stationär",D381&gt;4,D381&lt;=8),113,IF(AND(L380="Vermögend und stationär",D381&gt;2,D381&lt;=4),174,IF(AND(L380="Vermögend und stationär",D381&gt;1,D381&lt;=2),196,IF(AND(L380="Vermögend und stationär",D381&gt;0,D381&lt;=1),249,IF(AND(L380="Mittellos und ambulant",D381&gt;8,D381&lt;=1000),130,IF(AND(L380="Mittellos und ambulant",D381&gt;4,D381&lt;=8),151,IF(AND(L380="Mittellos und ambulant",D381&gt;2,D381&lt;=4),188,IF(AND(L380="Mittellos und ambulant",D381&gt;1,D381&lt;=2),211,IF(AND(L380="Mittellos und ambulant",D381&gt;0,D381&lt;=1),258,IF(AND(L380="Mittellos und stationär",D381&gt;8,D381&lt;=1000),78,IF(AND(L380="Mittellos und stationär",D381&gt;4,D381&lt;=8),107,IF(AND(L380="Mittellos und stationär",D381&gt;2,D381&lt;=4),154,IF(AND(L380="Mittellos und stationär",D381&gt;1,D381&lt;=2),158,IF(AND(L380="Mittellos und stationär",D381&gt;0,D381&lt;=1),241,""))))))))))))))))))))),IF(M379="Stufe C",IF(AND(L380="Auswahl treffen",D381&gt;=0,D381&lt;=1000),J379,IF(AND(L380="Vermögend und ambulant",D381&gt;8,D381&lt;=1000),211,IF(AND(L380="Vermögend und ambulant",D381&gt;4,D381&lt;=8),257,IF(AND(L380="Vermögend und ambulant",D381&gt;2,D381&lt;=4),312,IF(AND(L380="Vermögend und ambulant",D381&gt;1,D381&lt;=2),339,IF(AND(L380="Vermögend und ambulant",D381&gt;0,D381&lt;=1),486,IF(AND(L380="Vermögend und stationär",D381&gt;8,D381&lt;=1000),127,IF(AND(L380="Vermögend und stationär",D381&gt;4,D381&lt;=8),149,IF(AND(L380="Vermögend und stationär",D381&gt;2,D381&lt;=4),229,IF(AND(L380="Vermögend und stationär",D381&gt;1,D381&lt;=2),257,IF(AND(L380="Vermögend und stationär",D381&gt;0,D381&lt;=1),327,IF(AND(L380="Mittellos und ambulant",D381&gt;8,D381&lt;=1000),171,IF(AND(L380="Mittellos und ambulant",D381&gt;4,D381&lt;=8),198,IF(AND(L380="Mittellos und ambulant",D381&gt;2,D381&lt;=4),246,IF(AND(L380="Mittellos und ambulant",D381&gt;1,D381&lt;=2),277,IF(AND(L380="Mittellos und ambulant",D381&gt;0,D381&lt;=1),339,IF(AND(L380="Mittellos und stationär",D381&gt;8,D381&lt;=1000),102,IF(AND(L380="Mittellos und stationär",D381&gt;4,D381&lt;=8),141,IF(AND(L380="Mittellos und stationär",D381&gt;2,D381&lt;=4),202,IF(AND(L380="Mittellos und stationär",D381&gt;1,D381&lt;=2),208,IF(AND(L380="Mittellos und stationär",D381&gt;0,D381&lt;=1),317,""))))))))))))))))))))),"")))*3+(J379*90)</f>
        <v>#NUM!</v>
      </c>
      <c r="M382" s="507" t="str">
        <f>CONCATENATE(K382, K381)</f>
        <v>+Inflat.-P</v>
      </c>
      <c r="N382" s="206" t="s">
        <v>118</v>
      </c>
      <c r="O382" s="207"/>
      <c r="P382" s="207"/>
      <c r="Q382" s="208"/>
      <c r="R382" s="187"/>
      <c r="S382" s="209" t="s">
        <v>118</v>
      </c>
      <c r="T382" s="201" t="s">
        <v>117</v>
      </c>
      <c r="U382" s="210" t="s">
        <v>26</v>
      </c>
      <c r="V382" s="192"/>
      <c r="W382" s="203"/>
      <c r="X382" s="203"/>
      <c r="Y382" s="210"/>
      <c r="Z382" s="192"/>
      <c r="AA382" s="203"/>
      <c r="AB382" s="203"/>
      <c r="AC382" s="210"/>
      <c r="AD382" s="192"/>
      <c r="AE382" s="203"/>
      <c r="AF382" s="203"/>
      <c r="AG382" s="210"/>
      <c r="AH382" s="193"/>
      <c r="AI382" s="203"/>
      <c r="AJ382" s="203"/>
      <c r="AK382" s="376"/>
      <c r="AL382" s="348" t="s">
        <v>148</v>
      </c>
      <c r="AM382" s="354">
        <f>IF(SUM(N380:N388)=SUM(S380:S388), 0, SUM(N380:N388)-SUM(S380:S388))</f>
        <v>0</v>
      </c>
      <c r="AN382" s="354"/>
      <c r="AO382" s="354"/>
      <c r="AP382" s="354"/>
      <c r="AQ382" s="350">
        <f>AM382+AN382+AO382+AP382</f>
        <v>0</v>
      </c>
      <c r="AR382" s="769"/>
      <c r="AS382" s="769"/>
      <c r="AT382" s="769"/>
      <c r="BM382" s="335"/>
    </row>
    <row r="383" spans="1:65" ht="22.25" customHeight="1">
      <c r="A383" s="181">
        <f t="shared" si="121"/>
        <v>45292</v>
      </c>
      <c r="B383" s="484" t="e">
        <f>MONTH(I380)</f>
        <v>#NUM!</v>
      </c>
      <c r="C383" s="489" t="s">
        <v>158</v>
      </c>
      <c r="D383" s="522" t="e">
        <f>D381+1</f>
        <v>#NUM!</v>
      </c>
      <c r="E383" s="211" t="e">
        <f>DATE(YEAR(E382),MONTH(E382),DAY(E382)+1)</f>
        <v>#NUM!</v>
      </c>
      <c r="F383" s="212" t="e">
        <f t="shared" si="138"/>
        <v>#NUM!</v>
      </c>
      <c r="G383" s="213" t="e">
        <f t="shared" si="139"/>
        <v>#NUM!</v>
      </c>
      <c r="H383" s="212" t="e">
        <f t="shared" si="140"/>
        <v>#NUM!</v>
      </c>
      <c r="I383" s="214" t="str">
        <f>IF(D380&lt;&gt;0,"-1T","")</f>
        <v/>
      </c>
      <c r="J383" s="215" t="e">
        <f>DATE($B385,I384,$B381)</f>
        <v>#NUM!</v>
      </c>
      <c r="K383" s="501" t="str">
        <f t="shared" si="125"/>
        <v/>
      </c>
      <c r="L383" s="470"/>
      <c r="M383" s="473" t="e">
        <f ca="1">SUM(J380-E384)&amp;" Tage"</f>
        <v>#NUM!</v>
      </c>
      <c r="N383" s="216"/>
      <c r="O383" s="217"/>
      <c r="P383" s="188"/>
      <c r="Q383" s="217"/>
      <c r="R383" s="189"/>
      <c r="S383" s="190"/>
      <c r="T383" s="190"/>
      <c r="U383" s="191"/>
      <c r="V383" s="192"/>
      <c r="W383" s="190"/>
      <c r="X383" s="190"/>
      <c r="Y383" s="191"/>
      <c r="Z383" s="192"/>
      <c r="AA383" s="190"/>
      <c r="AB383" s="190"/>
      <c r="AC383" s="191"/>
      <c r="AD383" s="192"/>
      <c r="AE383" s="190"/>
      <c r="AF383" s="190"/>
      <c r="AG383" s="191"/>
      <c r="AH383" s="193"/>
      <c r="AI383" s="190"/>
      <c r="AJ383" s="190"/>
      <c r="AK383" s="374"/>
      <c r="AL383" s="348"/>
      <c r="AM383" s="354"/>
      <c r="AN383" s="354"/>
      <c r="AO383" s="354"/>
      <c r="AP383" s="354"/>
      <c r="AQ383" s="350"/>
      <c r="AR383" s="769"/>
      <c r="AS383" s="769"/>
      <c r="AT383" s="769"/>
      <c r="BM383" s="335"/>
    </row>
    <row r="384" spans="1:65" ht="22.25" customHeight="1">
      <c r="A384" s="181">
        <f t="shared" si="121"/>
        <v>45292</v>
      </c>
      <c r="B384" s="485"/>
      <c r="C384" s="490"/>
      <c r="D384" s="521"/>
      <c r="E384" s="218" t="e">
        <f>DATE(YEAR(E383),MONTH(E383)+3,DAY(E383)-1)</f>
        <v>#NUM!</v>
      </c>
      <c r="F384" s="212" t="e">
        <f t="shared" si="138"/>
        <v>#NUM!</v>
      </c>
      <c r="G384" s="213" t="e">
        <f t="shared" si="139"/>
        <v>#NUM!</v>
      </c>
      <c r="H384" s="212" t="e">
        <f t="shared" si="140"/>
        <v>#NUM!</v>
      </c>
      <c r="I384" s="219">
        <f>MAX(I385:I388)</f>
        <v>9</v>
      </c>
      <c r="J384" s="220" t="e">
        <f>DATE(YEAR(J383)+1,MONTH(J383),DAY(J383))</f>
        <v>#NUM!</v>
      </c>
      <c r="K384" s="506" t="str">
        <f t="shared" si="125"/>
        <v>+Inflat.-P</v>
      </c>
      <c r="L384" s="508" t="e">
        <f>IF(M379="Stufe A",IF(AND(L380="Auswahl treffen",D383&gt;=0,D383&lt;=1000),J379,IF(AND(L380="Vermögend und ambulant",D383&gt;8,D383&lt;=1000),130,IF(AND(L380="Vermögend und ambulant",D383&gt;4,D383&lt;=8),158,IF(AND(L380="Vermögend und ambulant",D383&gt;2,D383&lt;=4),192,IF(AND(L380="Vermögend und ambulant",D383&gt;1,D383&lt;=2),208,IF(AND(L380="Vermögend und ambulant",D383&gt;0,D383&lt;=1),298,IF(AND(L380="Vermögend und stationär",D383&gt;8,D383&lt;=1000),78,IF(AND(L380="Vermögend und stationär",D383&gt;4,D383&lt;=8),91,IF(AND(L380="Vermögend und stationär",D383&gt;2,D383&lt;=4),140,IF(AND(L380="Vermögend und stationär",D383&gt;1,D383&lt;=2),158,IF(AND(L380="Vermögend und stationär",D383&gt;0,D383&lt;=1),200,IF(AND(L380="Mittellos und ambulant",D383&gt;8,D383&lt;=1000),105,IF(AND(L380="Mittellos und ambulant",D383&gt;4,D383&lt;=8),122,IF(AND(L380="Mittellos und ambulant",D383&gt;2,D383&lt;=4),151,IF(AND(L380="Mittellos und ambulant",D383&gt;1,D383&lt;=2),170,IF(AND(L380="Mittellos und ambulant",D383&gt;0,D383&lt;=1),208,IF(AND(L380="Mittellos und stationär",D383&gt;8,D383&lt;=1000),62,IF(AND(L380="Mittellos und stationär",D383&gt;4,D383&lt;=8),87,IF(AND(L380="Mittellos und stationär",D383&gt;2,D383&lt;=4),124,IF(AND(L380="Mittellos und stationär",D383&gt;1,D383&lt;=2),129,IF(AND(L380="Mittellos und stationär",D383&gt;0,D383&lt;=1),194,""))))))))))))))))))))),IF(M379="Stufe B",IF(AND(L380="Auswahl treffen",D383&gt;=0,D383&lt;=1000),J379,IF(AND(L380="Vermögend und ambulant",D383&gt;8,D383&lt;=1000),161,IF(AND(L380="Vermögend und ambulant",D383&gt;4,D383&lt;=8),196,IF(AND(L380="Vermögend und ambulant",D383&gt;2,D383&lt;=4),238,IF(AND(L380="Vermögend und ambulant",D383&gt;1,D383&lt;=2),258,IF(AND(L380="Vermögend und ambulant",D383&gt;0,D383&lt;=1),370,IF(AND(L380="Vermögend und stationär",D383&gt;8,D383&lt;=1000),96,IF(AND(L380="Vermögend und stationär",D383&gt;4,D383&lt;=8),113,IF(AND(L380="Vermögend und stationär",D383&gt;2,D383&lt;=4),174,IF(AND(L380="Vermögend und stationär",D383&gt;1,D383&lt;=2),196,IF(AND(L380="Vermögend und stationär",D383&gt;0,D383&lt;=1),249,IF(AND(L380="Mittellos und ambulant",D383&gt;8,D383&lt;=1000),130,IF(AND(L380="Mittellos und ambulant",D383&gt;4,D383&lt;=8),151,IF(AND(L380="Mittellos und ambulant",D383&gt;2,D383&lt;=4),188,IF(AND(L380="Mittellos und ambulant",D383&gt;1,D383&lt;=2),211,IF(AND(L380="Mittellos und ambulant",D383&gt;0,D383&lt;=1),258,IF(AND(L380="Mittellos und stationär",D383&gt;8,D383&lt;=1000),78,IF(AND(L380="Mittellos und stationär",D383&gt;4,D383&lt;=8),107,IF(AND(L380="Mittellos und stationär",D383&gt;2,D383&lt;=4),154,IF(AND(L380="Mittellos und stationär",D383&gt;1,D383&lt;=2),158,IF(AND(L380="Mittellos und stationär",D383&gt;0,D383&lt;=1),241,""))))))))))))))))))))),IF(M379="Stufe C",IF(AND(L380="Auswahl treffen",D383&gt;=0,D383&lt;=1000),J379,IF(AND(L380="Vermögend und ambulant",D383&gt;8,D383&lt;=1000),211,IF(AND(L380="Vermögend und ambulant",D383&gt;4,D383&lt;=8),257,IF(AND(L380="Vermögend und ambulant",D383&gt;2,D383&lt;=4),312,IF(AND(L380="Vermögend und ambulant",D383&gt;1,D383&lt;=2),339,IF(AND(L380="Vermögend und ambulant",D383&gt;0,D383&lt;=1),486,IF(AND(L380="Vermögend und stationär",D383&gt;8,D383&lt;=1000),127,IF(AND(L380="Vermögend und stationär",D383&gt;4,D383&lt;=8),149,IF(AND(L380="Vermögend und stationär",D383&gt;2,D383&lt;=4),229,IF(AND(L380="Vermögend und stationär",D383&gt;1,D383&lt;=2),257,IF(AND(L380="Vermögend und stationär",D383&gt;0,D383&lt;=1),327,IF(AND(L380="Mittellos und ambulant",D383&gt;8,D383&lt;=1000),171,IF(AND(L380="Mittellos und ambulant",D383&gt;4,D383&lt;=8),198,IF(AND(L380="Mittellos und ambulant",D383&gt;2,D383&lt;=4),246,IF(AND(L380="Mittellos und ambulant",D383&gt;1,D383&lt;=2),277,IF(AND(L380="Mittellos und ambulant",D383&gt;0,D383&lt;=1),339,IF(AND(L380="Mittellos und stationär",D383&gt;8,D383&lt;=1000),102,IF(AND(L380="Mittellos und stationär",D383&gt;4,D383&lt;=8),141,IF(AND(L380="Mittellos und stationär",D383&gt;2,D383&lt;=4),202,IF(AND(L380="Mittellos und stationär",D383&gt;1,D383&lt;=2),208,IF(AND(L380="Mittellos und stationär",D383&gt;0,D383&lt;=1),317,""))))))))))))))))))))),"")))*3+(J379*90)</f>
        <v>#NUM!</v>
      </c>
      <c r="M384" s="507" t="str">
        <f>CONCATENATE(K384, K383)</f>
        <v>+Inflat.-P</v>
      </c>
      <c r="N384" s="216"/>
      <c r="O384" s="188" t="s">
        <v>118</v>
      </c>
      <c r="P384" s="188"/>
      <c r="Q384" s="221"/>
      <c r="R384" s="199"/>
      <c r="S384" s="190"/>
      <c r="T384" s="190"/>
      <c r="U384" s="191"/>
      <c r="V384" s="192"/>
      <c r="W384" s="222" t="s">
        <v>118</v>
      </c>
      <c r="X384" s="222" t="s">
        <v>117</v>
      </c>
      <c r="Y384" s="191" t="s">
        <v>26</v>
      </c>
      <c r="Z384" s="192"/>
      <c r="AA384" s="190"/>
      <c r="AB384" s="190"/>
      <c r="AC384" s="191"/>
      <c r="AD384" s="192"/>
      <c r="AE384" s="190"/>
      <c r="AF384" s="190"/>
      <c r="AG384" s="191"/>
      <c r="AH384" s="193"/>
      <c r="AI384" s="190"/>
      <c r="AJ384" s="190"/>
      <c r="AK384" s="374"/>
      <c r="AL384" s="348" t="s">
        <v>149</v>
      </c>
      <c r="AM384" s="354"/>
      <c r="AN384" s="354">
        <f>IF(SUM(O380:O388)=SUM(W380:W388), 0, SUM(O380:O388)-SUM(W380:W388))</f>
        <v>0</v>
      </c>
      <c r="AO384" s="354"/>
      <c r="AP384" s="354"/>
      <c r="AQ384" s="350">
        <f>AM384+AN384+AO384+AP384</f>
        <v>0</v>
      </c>
      <c r="AR384" s="769"/>
      <c r="AS384" s="769"/>
      <c r="AT384" s="769"/>
      <c r="BM384" s="335"/>
    </row>
    <row r="385" spans="1:65" ht="22.25" customHeight="1">
      <c r="A385" s="181">
        <f t="shared" si="121"/>
        <v>45292</v>
      </c>
      <c r="B385" s="484">
        <f>YEAR($A386)-1</f>
        <v>2023</v>
      </c>
      <c r="C385" s="489" t="s">
        <v>158</v>
      </c>
      <c r="D385" s="520" t="e">
        <f>D383+1</f>
        <v>#NUM!</v>
      </c>
      <c r="E385" s="194" t="e">
        <f>DATE(YEAR(E384),MONTH(E384),DAY(E384)+1)</f>
        <v>#NUM!</v>
      </c>
      <c r="F385" s="195" t="e">
        <f t="shared" si="138"/>
        <v>#NUM!</v>
      </c>
      <c r="G385" s="196" t="e">
        <f t="shared" si="139"/>
        <v>#NUM!</v>
      </c>
      <c r="H385" s="195" t="e">
        <f t="shared" si="140"/>
        <v>#NUM!</v>
      </c>
      <c r="I385" s="197">
        <f>IF(J387&lt;13,J387,"")</f>
        <v>9</v>
      </c>
      <c r="J385" s="224">
        <f>G380</f>
        <v>0</v>
      </c>
      <c r="K385" s="501" t="str">
        <f t="shared" si="125"/>
        <v/>
      </c>
      <c r="L385" s="471"/>
      <c r="M385" s="473" t="e">
        <f ca="1">SUM(J380-E386)&amp;" Tage"</f>
        <v>#NUM!</v>
      </c>
      <c r="N385" s="200"/>
      <c r="O385" s="201"/>
      <c r="P385" s="201"/>
      <c r="Q385" s="202"/>
      <c r="R385" s="189"/>
      <c r="S385" s="203"/>
      <c r="T385" s="203"/>
      <c r="U385" s="204"/>
      <c r="V385" s="192"/>
      <c r="W385" s="203"/>
      <c r="X385" s="203"/>
      <c r="Y385" s="204"/>
      <c r="Z385" s="192"/>
      <c r="AA385" s="203"/>
      <c r="AB385" s="203"/>
      <c r="AC385" s="204"/>
      <c r="AD385" s="192"/>
      <c r="AE385" s="203"/>
      <c r="AF385" s="203"/>
      <c r="AG385" s="204"/>
      <c r="AH385" s="193"/>
      <c r="AI385" s="203"/>
      <c r="AJ385" s="203"/>
      <c r="AK385" s="375"/>
      <c r="AL385" s="348"/>
      <c r="AM385" s="354"/>
      <c r="AN385" s="354"/>
      <c r="AO385" s="354"/>
      <c r="AP385" s="354"/>
      <c r="AQ385" s="350"/>
      <c r="AR385" s="769"/>
      <c r="AS385" s="769"/>
      <c r="AT385" s="769"/>
      <c r="BM385" s="335"/>
    </row>
    <row r="386" spans="1:65" ht="22.25" customHeight="1">
      <c r="A386" s="181">
        <f t="shared" si="121"/>
        <v>45292</v>
      </c>
      <c r="B386" s="485"/>
      <c r="C386" s="490"/>
      <c r="D386" s="521"/>
      <c r="E386" s="194" t="e">
        <f>DATE(YEAR(E385),MONTH(E385)+3,DAY(E385)-1)</f>
        <v>#NUM!</v>
      </c>
      <c r="F386" s="195" t="e">
        <f t="shared" si="138"/>
        <v>#NUM!</v>
      </c>
      <c r="G386" s="196" t="e">
        <f t="shared" si="139"/>
        <v>#NUM!</v>
      </c>
      <c r="H386" s="195" t="e">
        <f t="shared" si="140"/>
        <v>#NUM!</v>
      </c>
      <c r="I386" s="244">
        <f>IF(J388&lt;13,J388,"")</f>
        <v>6</v>
      </c>
      <c r="J386" s="224">
        <f>J385+3</f>
        <v>3</v>
      </c>
      <c r="K386" s="506" t="str">
        <f t="shared" si="125"/>
        <v>+Inflat.-P</v>
      </c>
      <c r="L386" s="511" t="e">
        <f>IF(M379="Stufe A",IF(AND(L380="Auswahl treffen",D385&gt;=0,D385&lt;=1000),J379,IF(AND(L380="Vermögend und ambulant",D385&gt;8,D385&lt;=1000),130,IF(AND(L380="Vermögend und ambulant",D385&gt;4,D385&lt;=8),158,IF(AND(L380="Vermögend und ambulant",D385&gt;2,D385&lt;=4),192,IF(AND(L380="Vermögend und ambulant",D385&gt;1,D385&lt;=2),208,IF(AND(L380="Vermögend und ambulant",D385&gt;0,D385&lt;=1),298,IF(AND(L380="Vermögend und stationär",D385&gt;8,D385&lt;=1000),78,IF(AND(L380="Vermögend und stationär",D385&gt;4,D385&lt;=8),91,IF(AND(L380="Vermögend und stationär",D385&gt;2,D385&lt;=4),140,IF(AND(L380="Vermögend und stationär",D385&gt;1,D385&lt;=2),158,IF(AND(L380="Vermögend und stationär",D385&gt;0,D385&lt;=1),200,IF(AND(L380="Mittellos und ambulant",D385&gt;8,D385&lt;=1000),105,IF(AND(L380="Mittellos und ambulant",D385&gt;4,D385&lt;=8),122,IF(AND(L380="Mittellos und ambulant",D385&gt;2,D385&lt;=4),151,IF(AND(L380="Mittellos und ambulant",D385&gt;1,D385&lt;=2),170,IF(AND(L380="Mittellos und ambulant",D385&gt;0,D385&lt;=1),208,IF(AND(L380="Mittellos und stationär",D385&gt;8,D385&lt;=1000),62,IF(AND(L380="Mittellos und stationär",D385&gt;4,D385&lt;=8),87,IF(AND(L380="Mittellos und stationär",D385&gt;2,D385&lt;=4),124,IF(AND(L380="Mittellos und stationär",D385&gt;1,D385&lt;=2),129,IF(AND(L380="Mittellos und stationär",D385&gt;0,D385&lt;=1),194,""))))))))))))))))))))),IF(M379="Stufe B",IF(AND(L380="Auswahl treffen",D385&gt;=0,D385&lt;=1000),J379,IF(AND(L380="Vermögend und ambulant",D385&gt;8,D385&lt;=1000),161,IF(AND(L380="Vermögend und ambulant",D385&gt;4,D385&lt;=8),196,IF(AND(L380="Vermögend und ambulant",D385&gt;2,D385&lt;=4),238,IF(AND(L380="Vermögend und ambulant",D385&gt;1,D385&lt;=2),258,IF(AND(L380="Vermögend und ambulant",D385&gt;0,D385&lt;=1),370,IF(AND(L380="Vermögend und stationär",D385&gt;8,D385&lt;=1000),96,IF(AND(L380="Vermögend und stationär",D385&gt;4,D385&lt;=8),113,IF(AND(L380="Vermögend und stationär",D385&gt;2,D385&lt;=4),174,IF(AND(L380="Vermögend und stationär",D385&gt;1,D385&lt;=2),196,IF(AND(L380="Vermögend und stationär",D385&gt;0,D385&lt;=1),249,IF(AND(L380="Mittellos und ambulant",D385&gt;8,D385&lt;=1000),130,IF(AND(L380="Mittellos und ambulant",D385&gt;4,D385&lt;=8),151,IF(AND(L380="Mittellos und ambulant",D385&gt;2,D385&lt;=4),188,IF(AND(L380="Mittellos und ambulant",D385&gt;1,D385&lt;=2),211,IF(AND(L380="Mittellos und ambulant",D385&gt;0,D385&lt;=1),258,IF(AND(L380="Mittellos und stationär",D385&gt;8,D385&lt;=1000),78,IF(AND(L380="Mittellos und stationär",D385&gt;4,D385&lt;=8),107,IF(AND(L380="Mittellos und stationär",D385&gt;2,D385&lt;=4),154,IF(AND(L380="Mittellos und stationär",D385&gt;1,D385&lt;=2),158,IF(AND(L380="Mittellos und stationär",D385&gt;0,D385&lt;=1),241,""))))))))))))))))))))),IF(M379="Stufe C",IF(AND(L380="Auswahl treffen",D385&gt;=0,D385&lt;=1000),J379,IF(AND(L380="Vermögend und ambulant",D385&gt;8,D385&lt;=1000),211,IF(AND(L380="Vermögend und ambulant",D385&gt;4,D385&lt;=8),257,IF(AND(L380="Vermögend und ambulant",D385&gt;2,D385&lt;=4),312,IF(AND(L380="Vermögend und ambulant",D385&gt;1,D385&lt;=2),339,IF(AND(L380="Vermögend und ambulant",D385&gt;0,D385&lt;=1),486,IF(AND(L380="Vermögend und stationär",D385&gt;8,D385&lt;=1000),127,IF(AND(L380="Vermögend und stationär",D385&gt;4,D385&lt;=8),149,IF(AND(L380="Vermögend und stationär",D385&gt;2,D385&lt;=4),229,IF(AND(L380="Vermögend und stationär",D385&gt;1,D385&lt;=2),257,IF(AND(L380="Vermögend und stationär",D385&gt;0,D385&lt;=1),327,IF(AND(L380="Mittellos und ambulant",D385&gt;8,D385&lt;=1000),171,IF(AND(L380="Mittellos und ambulant",D385&gt;4,D385&lt;=8),198,IF(AND(L380="Mittellos und ambulant",D385&gt;2,D385&lt;=4),246,IF(AND(L380="Mittellos und ambulant",D385&gt;1,D385&lt;=2),277,IF(AND(L380="Mittellos und ambulant",D385&gt;0,D385&lt;=1),339,IF(AND(L380="Mittellos und stationär",D385&gt;8,D385&lt;=1000),102,IF(AND(L380="Mittellos und stationär",D385&gt;4,D385&lt;=8),141,IF(AND(L380="Mittellos und stationär",D385&gt;2,D385&lt;=4),202,IF(AND(L380="Mittellos und stationär",D385&gt;1,D385&lt;=2),208,IF(AND(L380="Mittellos und stationär",D385&gt;0,D385&lt;=1),317,""))))))))))))))))))))),"")))*3+(J379*90)</f>
        <v>#NUM!</v>
      </c>
      <c r="M386" s="507" t="str">
        <f>CONCATENATE(K386, K385)</f>
        <v>+Inflat.-P</v>
      </c>
      <c r="N386" s="206"/>
      <c r="O386" s="207"/>
      <c r="P386" s="206" t="s">
        <v>118</v>
      </c>
      <c r="Q386" s="226"/>
      <c r="R386" s="189"/>
      <c r="S386" s="203"/>
      <c r="T386" s="203"/>
      <c r="U386" s="204"/>
      <c r="V386" s="192"/>
      <c r="W386" s="203"/>
      <c r="X386" s="203"/>
      <c r="Y386" s="204"/>
      <c r="Z386" s="192"/>
      <c r="AA386" s="209" t="s">
        <v>118</v>
      </c>
      <c r="AB386" s="209" t="s">
        <v>117</v>
      </c>
      <c r="AC386" s="204" t="s">
        <v>26</v>
      </c>
      <c r="AD386" s="192"/>
      <c r="AE386" s="203"/>
      <c r="AF386" s="203"/>
      <c r="AG386" s="204"/>
      <c r="AH386" s="193"/>
      <c r="AI386" s="203"/>
      <c r="AJ386" s="203"/>
      <c r="AK386" s="375"/>
      <c r="AL386" s="348" t="s">
        <v>150</v>
      </c>
      <c r="AM386" s="354"/>
      <c r="AN386" s="354"/>
      <c r="AO386" s="354">
        <f>IF(SUM(P380:P388)=SUM(AA380:AA388), 0, SUM(P380:P388)-SUM(AA380:AA388))</f>
        <v>0</v>
      </c>
      <c r="AP386" s="354"/>
      <c r="AQ386" s="350">
        <f>AM386+AN386+AO386+AP386</f>
        <v>0</v>
      </c>
      <c r="AR386" s="769"/>
      <c r="AS386" s="769"/>
      <c r="AT386" s="769"/>
      <c r="BM386" s="335"/>
    </row>
    <row r="387" spans="1:65" ht="22.25" customHeight="1">
      <c r="A387" s="181">
        <f t="shared" si="121"/>
        <v>45292</v>
      </c>
      <c r="B387" s="486"/>
      <c r="C387" s="489" t="s">
        <v>158</v>
      </c>
      <c r="D387" s="522" t="e">
        <f>D385+1</f>
        <v>#NUM!</v>
      </c>
      <c r="E387" s="211" t="e">
        <f>DATE(YEAR(E386),MONTH(E386),DAY(E386)+1)</f>
        <v>#NUM!</v>
      </c>
      <c r="F387" s="227" t="e">
        <f t="shared" si="138"/>
        <v>#NUM!</v>
      </c>
      <c r="G387" s="228" t="e">
        <f t="shared" si="139"/>
        <v>#NUM!</v>
      </c>
      <c r="H387" s="227" t="e">
        <f t="shared" si="140"/>
        <v>#NUM!</v>
      </c>
      <c r="I387" s="231">
        <f>IF(J386&lt;13,J386,"")</f>
        <v>3</v>
      </c>
      <c r="J387" s="230">
        <f>J388+3</f>
        <v>9</v>
      </c>
      <c r="K387" s="501" t="str">
        <f t="shared" si="125"/>
        <v/>
      </c>
      <c r="L387" s="471"/>
      <c r="M387" s="473" t="e">
        <f ca="1">SUM(J380-E388)&amp;" Tage"</f>
        <v>#NUM!</v>
      </c>
      <c r="N387" s="216"/>
      <c r="O387" s="188"/>
      <c r="P387" s="188"/>
      <c r="Q387" s="217"/>
      <c r="R387" s="189"/>
      <c r="S387" s="190"/>
      <c r="T387" s="190"/>
      <c r="U387" s="191"/>
      <c r="V387" s="192"/>
      <c r="W387" s="190"/>
      <c r="X387" s="190"/>
      <c r="Y387" s="191"/>
      <c r="Z387" s="192"/>
      <c r="AA387" s="190"/>
      <c r="AB387" s="190"/>
      <c r="AC387" s="191"/>
      <c r="AD387" s="192"/>
      <c r="AE387" s="190"/>
      <c r="AF387" s="190"/>
      <c r="AG387" s="191"/>
      <c r="AH387" s="193"/>
      <c r="AI387" s="190"/>
      <c r="AJ387" s="190"/>
      <c r="AK387" s="374"/>
      <c r="AL387" s="348"/>
      <c r="AM387" s="354"/>
      <c r="AN387" s="354"/>
      <c r="AO387" s="354"/>
      <c r="AP387" s="354"/>
      <c r="AQ387" s="350"/>
      <c r="AR387" s="769"/>
      <c r="AS387" s="769"/>
      <c r="AT387" s="769"/>
      <c r="BM387" s="335"/>
    </row>
    <row r="388" spans="1:65" ht="22.25" customHeight="1">
      <c r="A388" s="181">
        <f t="shared" si="121"/>
        <v>45292</v>
      </c>
      <c r="B388" s="485"/>
      <c r="C388" s="490"/>
      <c r="D388" s="521"/>
      <c r="E388" s="218" t="e">
        <f>DATE(YEAR(E387),MONTH(E387)+3,DAY(E387)-1)</f>
        <v>#NUM!</v>
      </c>
      <c r="F388" s="227" t="e">
        <f t="shared" si="138"/>
        <v>#NUM!</v>
      </c>
      <c r="G388" s="228" t="e">
        <f t="shared" si="139"/>
        <v>#NUM!</v>
      </c>
      <c r="H388" s="227" t="e">
        <f t="shared" si="140"/>
        <v>#NUM!</v>
      </c>
      <c r="I388" s="231">
        <f>IF(J385&lt;13,J385,"")</f>
        <v>0</v>
      </c>
      <c r="J388" s="230">
        <f>J386+3</f>
        <v>6</v>
      </c>
      <c r="K388" s="506" t="str">
        <f t="shared" si="125"/>
        <v>+Inflat.-P</v>
      </c>
      <c r="L388" s="508" t="e">
        <f>IF(M379="Stufe A",IF(AND(L380="Auswahl treffen",D387&gt;=0,D387&lt;=1000),J379,IF(AND(L380="Vermögend und ambulant",D387&gt;8,D387&lt;=1000),130,IF(AND(L380="Vermögend und ambulant",D387&gt;4,D387&lt;=8),158,IF(AND(L380="Vermögend und ambulant",D387&gt;2,D387&lt;=4),192,IF(AND(L380="Vermögend und ambulant",D387&gt;1,D387&lt;=2),208,IF(AND(L380="Vermögend und ambulant",D387&gt;0,D387&lt;=1),298,IF(AND(L380="Vermögend und stationär",D387&gt;8,D387&lt;=1000),78,IF(AND(L380="Vermögend und stationär",D387&gt;4,D387&lt;=8),91,IF(AND(L380="Vermögend und stationär",D387&gt;2,D387&lt;=4),140,IF(AND(L380="Vermögend und stationär",D387&gt;1,D387&lt;=2),158,IF(AND(L380="Vermögend und stationär",D387&gt;0,D387&lt;=1),200,IF(AND(L380="Mittellos und ambulant",D387&gt;8,D387&lt;=1000),105,IF(AND(L380="Mittellos und ambulant",D387&gt;4,D387&lt;=8),122,IF(AND(L380="Mittellos und ambulant",D387&gt;2,D387&lt;=4),151,IF(AND(L380="Mittellos und ambulant",D387&gt;1,D387&lt;=2),170,IF(AND(L380="Mittellos und ambulant",D387&gt;0,D387&lt;=1),208,IF(AND(L380="Mittellos und stationär",D387&gt;8,D387&lt;=1000),62,IF(AND(L380="Mittellos und stationär",D387&gt;4,D387&lt;=8),87,IF(AND(L380="Mittellos und stationär",D387&gt;2,D387&lt;=4),124,IF(AND(L380="Mittellos und stationär",D387&gt;1,D387&lt;=2),129,IF(AND(L380="Mittellos und stationär",D387&gt;0,D387&lt;=1),194,""))))))))))))))))))))),IF(M379="Stufe B",IF(AND(L380="Auswahl treffen",D387&gt;=0,D387&lt;=1000),J379,IF(AND(L380="Vermögend und ambulant",D387&gt;8,D387&lt;=1000),161,IF(AND(L380="Vermögend und ambulant",D387&gt;4,D387&lt;=8),196,IF(AND(L380="Vermögend und ambulant",D387&gt;2,D387&lt;=4),238,IF(AND(L380="Vermögend und ambulant",D387&gt;1,D387&lt;=2),258,IF(AND(L380="Vermögend und ambulant",D387&gt;0,D387&lt;=1),370,IF(AND(L380="Vermögend und stationär",D387&gt;8,D387&lt;=1000),96,IF(AND(L380="Vermögend und stationär",D387&gt;4,D387&lt;=8),113,IF(AND(L380="Vermögend und stationär",D387&gt;2,D387&lt;=4),174,IF(AND(L380="Vermögend und stationär",D387&gt;1,D387&lt;=2),196,IF(AND(L380="Vermögend und stationär",D387&gt;0,D387&lt;=1),249,IF(AND(L380="Mittellos und ambulant",D387&gt;8,D387&lt;=1000),130,IF(AND(L380="Mittellos und ambulant",D387&gt;4,D387&lt;=8),151,IF(AND(L380="Mittellos und ambulant",D387&gt;2,D387&lt;=4),188,IF(AND(L380="Mittellos und ambulant",D387&gt;1,D387&lt;=2),211,IF(AND(L380="Mittellos und ambulant",D387&gt;0,D387&lt;=1),258,IF(AND(L380="Mittellos und stationär",D387&gt;8,D387&lt;=1000),78,IF(AND(L380="Mittellos und stationär",D387&gt;4,D387&lt;=8),107,IF(AND(L380="Mittellos und stationär",D387&gt;2,D387&lt;=4),154,IF(AND(L380="Mittellos und stationär",D387&gt;1,D387&lt;=2),158,IF(AND(L380="Mittellos und stationär",D387&gt;0,D387&lt;=1),241,""))))))))))))))))))))),IF(M379="Stufe C",IF(AND(L380="Auswahl treffen",D387&gt;=0,D387&lt;=1000),J379,IF(AND(L380="Vermögend und ambulant",D387&gt;8,D387&lt;=1000),211,IF(AND(L380="Vermögend und ambulant",D387&gt;4,D387&lt;=8),257,IF(AND(L380="Vermögend und ambulant",D387&gt;2,D387&lt;=4),312,IF(AND(L380="Vermögend und ambulant",D387&gt;1,D387&lt;=2),339,IF(AND(L380="Vermögend und ambulant",D387&gt;0,D387&lt;=1),486,IF(AND(L380="Vermögend und stationär",D387&gt;8,D387&lt;=1000),127,IF(AND(L380="Vermögend und stationär",D387&gt;4,D387&lt;=8),149,IF(AND(L380="Vermögend und stationär",D387&gt;2,D387&lt;=4),229,IF(AND(L380="Vermögend und stationär",D387&gt;1,D387&lt;=2),257,IF(AND(L380="Vermögend und stationär",D387&gt;0,D387&lt;=1),327,IF(AND(L380="Mittellos und ambulant",D387&gt;8,D387&lt;=1000),171,IF(AND(L380="Mittellos und ambulant",D387&gt;4,D387&lt;=8),198,IF(AND(L380="Mittellos und ambulant",D387&gt;2,D387&lt;=4),246,IF(AND(L380="Mittellos und ambulant",D387&gt;1,D387&lt;=2),277,IF(AND(L380="Mittellos und ambulant",D387&gt;0,D387&lt;=1),339,IF(AND(L380="Mittellos und stationär",D387&gt;8,D387&lt;=1000),102,IF(AND(L380="Mittellos und stationär",D387&gt;4,D387&lt;=8),141,IF(AND(L380="Mittellos und stationär",D387&gt;2,D387&lt;=4),202,IF(AND(L380="Mittellos und stationär",D387&gt;1,D387&lt;=2),208,IF(AND(L380="Mittellos und stationär",D387&gt;0,D387&lt;=1),317,""))))))))))))))))))))),"")))*3+(J379*90)</f>
        <v>#NUM!</v>
      </c>
      <c r="M388" s="507" t="str">
        <f>CONCATENATE(K388, K387)</f>
        <v>+Inflat.-P</v>
      </c>
      <c r="N388" s="216"/>
      <c r="O388" s="188"/>
      <c r="P388" s="188"/>
      <c r="Q388" s="217" t="s">
        <v>118</v>
      </c>
      <c r="R388" s="189"/>
      <c r="S388" s="190"/>
      <c r="T388" s="190"/>
      <c r="U388" s="191"/>
      <c r="V388" s="192"/>
      <c r="W388" s="190"/>
      <c r="X388" s="190"/>
      <c r="Y388" s="191"/>
      <c r="Z388" s="192"/>
      <c r="AA388" s="190"/>
      <c r="AB388" s="190"/>
      <c r="AC388" s="191"/>
      <c r="AD388" s="192"/>
      <c r="AE388" s="190" t="s">
        <v>118</v>
      </c>
      <c r="AF388" s="190" t="s">
        <v>117</v>
      </c>
      <c r="AG388" s="191" t="s">
        <v>26</v>
      </c>
      <c r="AH388" s="193"/>
      <c r="AI388" s="190" t="s">
        <v>118</v>
      </c>
      <c r="AJ388" s="190" t="s">
        <v>117</v>
      </c>
      <c r="AK388" s="374" t="s">
        <v>26</v>
      </c>
      <c r="AL388" s="348" t="s">
        <v>151</v>
      </c>
      <c r="AM388" s="354"/>
      <c r="AN388" s="354"/>
      <c r="AO388" s="354"/>
      <c r="AP388" s="354">
        <f>IF(SUM(Q380:Q388)=SUM(AE380:AE388,AI380:AI388), 0, SUM(Q380:Q388)-SUM(AE380:AE388,AI380:AI388))</f>
        <v>0</v>
      </c>
      <c r="AQ388" s="350">
        <f>AM388+AN388+AO388+AP388</f>
        <v>0</v>
      </c>
      <c r="AR388" s="769"/>
      <c r="AS388" s="769"/>
      <c r="AT388" s="769"/>
      <c r="BM388" s="335"/>
    </row>
    <row r="389" spans="1:65" ht="22" customHeight="1">
      <c r="A389" s="181">
        <f t="shared" si="121"/>
        <v>45292</v>
      </c>
      <c r="B389" s="232" t="s">
        <v>74</v>
      </c>
      <c r="C389" s="233" t="s">
        <v>75</v>
      </c>
      <c r="D389" s="234" t="s">
        <v>76</v>
      </c>
      <c r="E389" s="235" t="s">
        <v>11</v>
      </c>
      <c r="F389" s="235" t="s">
        <v>4</v>
      </c>
      <c r="G389" s="235" t="s">
        <v>5</v>
      </c>
      <c r="H389" s="235" t="s">
        <v>6</v>
      </c>
      <c r="I389" s="236" t="s">
        <v>77</v>
      </c>
      <c r="J389" s="306"/>
      <c r="K389" s="501" t="str">
        <f t="shared" si="125"/>
        <v/>
      </c>
      <c r="L389" s="306" t="str">
        <f>IFERROR(VLOOKUP(B390,'Aktuelle Einnahmen'!A2:J104,10,0),"")</f>
        <v/>
      </c>
      <c r="M389" s="510" t="str">
        <f>M379</f>
        <v>Stufe C</v>
      </c>
      <c r="N389" s="237"/>
      <c r="O389" s="238"/>
      <c r="P389" s="238"/>
      <c r="Q389" s="239"/>
      <c r="R389" s="240"/>
      <c r="S389" s="241"/>
      <c r="T389" s="241"/>
      <c r="U389" s="242"/>
      <c r="V389" s="243"/>
      <c r="W389" s="241"/>
      <c r="X389" s="241"/>
      <c r="Y389" s="242"/>
      <c r="Z389" s="243"/>
      <c r="AA389" s="241"/>
      <c r="AB389" s="241"/>
      <c r="AC389" s="242"/>
      <c r="AD389" s="243"/>
      <c r="AE389" s="241"/>
      <c r="AF389" s="241"/>
      <c r="AG389" s="242"/>
      <c r="AH389" s="240"/>
      <c r="AI389" s="241"/>
      <c r="AJ389" s="241"/>
      <c r="AK389" s="377"/>
      <c r="AL389" s="347"/>
      <c r="AM389" s="353"/>
      <c r="AN389" s="353"/>
      <c r="AO389" s="353"/>
      <c r="AP389" s="353"/>
      <c r="AQ389" s="349"/>
      <c r="AR389" s="768"/>
      <c r="AS389" s="768"/>
      <c r="AT389" s="768"/>
      <c r="BM389" s="335"/>
    </row>
    <row r="390" spans="1:65" ht="23" customHeight="1">
      <c r="A390" s="181">
        <f t="shared" si="121"/>
        <v>45292</v>
      </c>
      <c r="B390" s="182">
        <v>39</v>
      </c>
      <c r="C390" s="245">
        <f>IFERROR(VLOOKUP($B390,'Aktuelle Einnahmen'!A2:G104,3,0),"")</f>
        <v>0</v>
      </c>
      <c r="D390" s="246">
        <f>IFERROR(VLOOKUP($B390,'Aktuelle Einnahmen'!A2:G104,2,0),"")</f>
        <v>0</v>
      </c>
      <c r="E390" s="247">
        <f>IFERROR(VLOOKUP($B390,'Aktuelle Einnahmen'!A2:G104,4,0),"")</f>
        <v>0</v>
      </c>
      <c r="F390" s="94">
        <f>IFERROR(VLOOKUP($B390,'Aktuelle Einnahmen'!A2:G104,5,0),"")</f>
        <v>0</v>
      </c>
      <c r="G390" s="94">
        <f>IFERROR(VLOOKUP($B390,'Aktuelle Einnahmen'!A2:G104,6,0),"")</f>
        <v>0</v>
      </c>
      <c r="H390" s="94">
        <f>IFERROR(VLOOKUP($B390,'Aktuelle Einnahmen'!A2:G104,7,0),"")</f>
        <v>0</v>
      </c>
      <c r="I390" s="186" t="e">
        <f>DATE(H390,G390,F390)</f>
        <v>#NUM!</v>
      </c>
      <c r="J390" s="472">
        <f ca="1">J380</f>
        <v>45475</v>
      </c>
      <c r="K390" s="501" t="str">
        <f t="shared" si="125"/>
        <v>+Inflat.-P</v>
      </c>
      <c r="L390" s="1262" t="str">
        <f>IFERROR(VLOOKUP(B390,'Aktuelle Einnahmen'!A12:I114,9,0),"")</f>
        <v>Auswahl treffen</v>
      </c>
      <c r="M390" s="1263"/>
      <c r="N390" s="261"/>
      <c r="O390" s="261"/>
      <c r="P390" s="261"/>
      <c r="Q390" s="261"/>
      <c r="R390" s="189"/>
      <c r="S390" s="190"/>
      <c r="T390" s="190"/>
      <c r="U390" s="191"/>
      <c r="V390" s="192"/>
      <c r="W390" s="190"/>
      <c r="X390" s="190"/>
      <c r="Y390" s="191"/>
      <c r="Z390" s="192"/>
      <c r="AA390" s="190"/>
      <c r="AB390" s="190"/>
      <c r="AC390" s="191"/>
      <c r="AD390" s="192"/>
      <c r="AE390" s="190"/>
      <c r="AF390" s="190"/>
      <c r="AG390" s="191"/>
      <c r="AH390" s="193"/>
      <c r="AI390" s="190"/>
      <c r="AJ390" s="190"/>
      <c r="AK390" s="374"/>
      <c r="AL390" s="348"/>
      <c r="AM390" s="354"/>
      <c r="AN390" s="354"/>
      <c r="AO390" s="354"/>
      <c r="AP390" s="354"/>
      <c r="AQ390" s="350"/>
      <c r="AR390" s="769"/>
      <c r="AS390" s="769"/>
      <c r="AT390" s="769"/>
      <c r="BM390" s="335"/>
    </row>
    <row r="391" spans="1:65" ht="22.25" customHeight="1">
      <c r="A391" s="181">
        <f t="shared" si="121"/>
        <v>45292</v>
      </c>
      <c r="B391" s="484" t="e">
        <f>DAY(I390)</f>
        <v>#NUM!</v>
      </c>
      <c r="C391" s="489" t="s">
        <v>158</v>
      </c>
      <c r="D391" s="520" t="e">
        <f>(I391*4)+J391/3+1</f>
        <v>#NUM!</v>
      </c>
      <c r="E391" s="194" t="e">
        <f>J393+1</f>
        <v>#NUM!</v>
      </c>
      <c r="F391" s="195" t="e">
        <f t="shared" ref="F391:F398" si="141">DAY(E391)</f>
        <v>#NUM!</v>
      </c>
      <c r="G391" s="196" t="e">
        <f t="shared" ref="G391:G398" si="142">MONTH(E391)</f>
        <v>#NUM!</v>
      </c>
      <c r="H391" s="195" t="e">
        <f t="shared" ref="H391:H398" si="143">YEAR(E391)</f>
        <v>#NUM!</v>
      </c>
      <c r="I391" s="197" t="e">
        <f>H391-(H390+2000)</f>
        <v>#NUM!</v>
      </c>
      <c r="J391" s="198" t="e">
        <f>G391-G390</f>
        <v>#NUM!</v>
      </c>
      <c r="K391" s="506" t="str">
        <f>L389</f>
        <v/>
      </c>
      <c r="L391" s="469"/>
      <c r="M391" s="473" t="e">
        <f ca="1">SUM(J390-E392)&amp;" Tage"</f>
        <v>#NUM!</v>
      </c>
      <c r="N391" s="206"/>
      <c r="O391" s="201"/>
      <c r="P391" s="201"/>
      <c r="Q391" s="202"/>
      <c r="R391" s="189"/>
      <c r="S391" s="203"/>
      <c r="T391" s="203"/>
      <c r="U391" s="204"/>
      <c r="V391" s="192"/>
      <c r="W391" s="203"/>
      <c r="X391" s="203"/>
      <c r="Y391" s="204"/>
      <c r="Z391" s="192"/>
      <c r="AA391" s="203"/>
      <c r="AB391" s="203"/>
      <c r="AC391" s="204"/>
      <c r="AD391" s="192"/>
      <c r="AE391" s="203"/>
      <c r="AF391" s="203"/>
      <c r="AG391" s="204"/>
      <c r="AH391" s="193"/>
      <c r="AI391" s="203"/>
      <c r="AJ391" s="203"/>
      <c r="AK391" s="375"/>
      <c r="AL391" s="348"/>
      <c r="AM391" s="354"/>
      <c r="AN391" s="354"/>
      <c r="AO391" s="354"/>
      <c r="AP391" s="354"/>
      <c r="AQ391" s="350"/>
      <c r="AR391" s="769"/>
      <c r="AS391" s="769"/>
      <c r="AT391" s="769"/>
      <c r="BM391" s="335"/>
    </row>
    <row r="392" spans="1:65" ht="22.25" customHeight="1">
      <c r="A392" s="181">
        <f t="shared" si="121"/>
        <v>45292</v>
      </c>
      <c r="B392" s="485"/>
      <c r="C392" s="490"/>
      <c r="D392" s="521"/>
      <c r="E392" s="194" t="e">
        <f>DATE(YEAR(E391),MONTH(E391)+3,DAY(E391)-1)</f>
        <v>#NUM!</v>
      </c>
      <c r="F392" s="195" t="e">
        <f t="shared" si="141"/>
        <v>#NUM!</v>
      </c>
      <c r="G392" s="196" t="e">
        <f t="shared" si="142"/>
        <v>#NUM!</v>
      </c>
      <c r="H392" s="195" t="e">
        <f t="shared" si="143"/>
        <v>#NUM!</v>
      </c>
      <c r="I392" s="244">
        <v>-1</v>
      </c>
      <c r="J392" s="198" t="e">
        <f>F391-F390</f>
        <v>#NUM!</v>
      </c>
      <c r="K392" s="501" t="str">
        <f t="shared" si="125"/>
        <v>+Inflat.-P</v>
      </c>
      <c r="L392" s="511" t="e">
        <f>IF(M389="Stufe A",IF(AND(L390="Auswahl treffen",D391&gt;=0,D391&lt;=1000),J389,IF(AND(L390="Vermögend und ambulant",D391&gt;8,D391&lt;=1000),130,IF(AND(L390="Vermögend und ambulant",D391&gt;4,D391&lt;=8),158,IF(AND(L390="Vermögend und ambulant",D391&gt;2,D391&lt;=4),192,IF(AND(L390="Vermögend und ambulant",D391&gt;1,D391&lt;=2),208,IF(AND(L390="Vermögend und ambulant",D391&gt;0,D391&lt;=1),298,IF(AND(L390="Vermögend und stationär",D391&gt;8,D391&lt;=1000),78,IF(AND(L390="Vermögend und stationär",D391&gt;4,D391&lt;=8),91,IF(AND(L390="Vermögend und stationär",D391&gt;2,D391&lt;=4),140,IF(AND(L390="Vermögend und stationär",D391&gt;1,D391&lt;=2),158,IF(AND(L390="Vermögend und stationär",D391&gt;0,D391&lt;=1),200,IF(AND(L390="Mittellos und ambulant",D391&gt;8,D391&lt;=1000),105,IF(AND(L390="Mittellos und ambulant",D391&gt;4,D391&lt;=8),122,IF(AND(L390="Mittellos und ambulant",D391&gt;2,D391&lt;=4),151,IF(AND(L390="Mittellos und ambulant",D391&gt;1,D391&lt;=2),170,IF(AND(L390="Mittellos und ambulant",D391&gt;0,D391&lt;=1),208,IF(AND(L390="Mittellos und stationär",D391&gt;8,D391&lt;=1000),62,IF(AND(L390="Mittellos und stationär",D391&gt;4,D391&lt;=8),87,IF(AND(L390="Mittellos und stationär",D391&gt;2,D391&lt;=4),124,IF(AND(L390="Mittellos und stationär",D391&gt;1,D391&lt;=2),129,IF(AND(L390="Mittellos und stationär",D391&gt;0,D391&lt;=1),194,""))))))))))))))))))))),IF(M389="Stufe B",IF(AND(L390="Auswahl treffen",D391&gt;=0,D391&lt;=1000),J389,IF(AND(L390="Vermögend und ambulant",D391&gt;8,D391&lt;=1000),161,IF(AND(L390="Vermögend und ambulant",D391&gt;4,D391&lt;=8),196,IF(AND(L390="Vermögend und ambulant",D391&gt;2,D391&lt;=4),238,IF(AND(L390="Vermögend und ambulant",D391&gt;1,D391&lt;=2),258,IF(AND(L390="Vermögend und ambulant",D391&gt;0,D391&lt;=1),370,IF(AND(L390="Vermögend und stationär",D391&gt;8,D391&lt;=1000),96,IF(AND(L390="Vermögend und stationär",D391&gt;4,D391&lt;=8),113,IF(AND(L390="Vermögend und stationär",D391&gt;2,D391&lt;=4),174,IF(AND(L390="Vermögend und stationär",D391&gt;1,D391&lt;=2),196,IF(AND(L390="Vermögend und stationär",D391&gt;0,D391&lt;=1),249,IF(AND(L390="Mittellos und ambulant",D391&gt;8,D391&lt;=1000),130,IF(AND(L390="Mittellos und ambulant",D391&gt;4,D391&lt;=8),151,IF(AND(L390="Mittellos und ambulant",D391&gt;2,D391&lt;=4),188,IF(AND(L390="Mittellos und ambulant",D391&gt;1,D391&lt;=2),211,IF(AND(L390="Mittellos und ambulant",D391&gt;0,D391&lt;=1),258,IF(AND(L390="Mittellos und stationär",D391&gt;8,D391&lt;=1000),78,IF(AND(L390="Mittellos und stationär",D391&gt;4,D391&lt;=8),107,IF(AND(L390="Mittellos und stationär",D391&gt;2,D391&lt;=4),154,IF(AND(L390="Mittellos und stationär",D391&gt;1,D391&lt;=2),158,IF(AND(L390="Mittellos und stationär",D391&gt;0,D391&lt;=1),241,""))))))))))))))))))))),IF(M389="Stufe C",IF(AND(L390="Auswahl treffen",D391&gt;=0,D391&lt;=1000),J389,IF(AND(L390="Vermögend und ambulant",D391&gt;8,D391&lt;=1000),211,IF(AND(L390="Vermögend und ambulant",D391&gt;4,D391&lt;=8),257,IF(AND(L390="Vermögend und ambulant",D391&gt;2,D391&lt;=4),312,IF(AND(L390="Vermögend und ambulant",D391&gt;1,D391&lt;=2),339,IF(AND(L390="Vermögend und ambulant",D391&gt;0,D391&lt;=1),486,IF(AND(L390="Vermögend und stationär",D391&gt;8,D391&lt;=1000),127,IF(AND(L390="Vermögend und stationär",D391&gt;4,D391&lt;=8),149,IF(AND(L390="Vermögend und stationär",D391&gt;2,D391&lt;=4),229,IF(AND(L390="Vermögend und stationär",D391&gt;1,D391&lt;=2),257,IF(AND(L390="Vermögend und stationär",D391&gt;0,D391&lt;=1),327,IF(AND(L390="Mittellos und ambulant",D391&gt;8,D391&lt;=1000),171,IF(AND(L390="Mittellos und ambulant",D391&gt;4,D391&lt;=8),198,IF(AND(L390="Mittellos und ambulant",D391&gt;2,D391&lt;=4),246,IF(AND(L390="Mittellos und ambulant",D391&gt;1,D391&lt;=2),277,IF(AND(L390="Mittellos und ambulant",D391&gt;0,D391&lt;=1),339,IF(AND(L390="Mittellos und stationär",D391&gt;8,D391&lt;=1000),102,IF(AND(L390="Mittellos und stationär",D391&gt;4,D391&lt;=8),141,IF(AND(L390="Mittellos und stationär",D391&gt;2,D391&lt;=4),202,IF(AND(L390="Mittellos und stationär",D391&gt;1,D391&lt;=2),208,IF(AND(L390="Mittellos und stationär",D391&gt;0,D391&lt;=1),317,""))))))))))))))))))))),"")))*3+(J389*90)</f>
        <v>#NUM!</v>
      </c>
      <c r="M392" s="507" t="str">
        <f>CONCATENATE(K392, K391)</f>
        <v>+Inflat.-P</v>
      </c>
      <c r="N392" s="206" t="s">
        <v>118</v>
      </c>
      <c r="O392" s="207"/>
      <c r="P392" s="207"/>
      <c r="Q392" s="208"/>
      <c r="R392" s="187"/>
      <c r="S392" s="209" t="s">
        <v>118</v>
      </c>
      <c r="T392" s="201" t="s">
        <v>117</v>
      </c>
      <c r="U392" s="210" t="s">
        <v>26</v>
      </c>
      <c r="V392" s="192"/>
      <c r="W392" s="203"/>
      <c r="X392" s="203"/>
      <c r="Y392" s="210"/>
      <c r="Z392" s="192"/>
      <c r="AA392" s="203"/>
      <c r="AB392" s="203"/>
      <c r="AC392" s="210"/>
      <c r="AD392" s="192"/>
      <c r="AE392" s="203"/>
      <c r="AF392" s="203"/>
      <c r="AG392" s="210"/>
      <c r="AH392" s="193"/>
      <c r="AI392" s="203"/>
      <c r="AJ392" s="203"/>
      <c r="AK392" s="376"/>
      <c r="AL392" s="348" t="s">
        <v>148</v>
      </c>
      <c r="AM392" s="354">
        <f>IF(SUM(N390:N398)=SUM(S390:S398), 0, SUM(N390:N398)-SUM(S390:S398))</f>
        <v>0</v>
      </c>
      <c r="AN392" s="354"/>
      <c r="AO392" s="354"/>
      <c r="AP392" s="354"/>
      <c r="AQ392" s="350">
        <f>AM392+AN392+AO392+AP392</f>
        <v>0</v>
      </c>
      <c r="AR392" s="769"/>
      <c r="AS392" s="769"/>
      <c r="AT392" s="769"/>
      <c r="BM392" s="335"/>
    </row>
    <row r="393" spans="1:65" ht="22.25" customHeight="1">
      <c r="A393" s="181">
        <f t="shared" ref="A393:A456" si="144">$A392</f>
        <v>45292</v>
      </c>
      <c r="B393" s="484" t="e">
        <f>MONTH(I390)</f>
        <v>#NUM!</v>
      </c>
      <c r="C393" s="489" t="s">
        <v>158</v>
      </c>
      <c r="D393" s="522" t="e">
        <f>D391+1</f>
        <v>#NUM!</v>
      </c>
      <c r="E393" s="211" t="e">
        <f>DATE(YEAR(E392),MONTH(E392),DAY(E392)+1)</f>
        <v>#NUM!</v>
      </c>
      <c r="F393" s="212" t="e">
        <f t="shared" si="141"/>
        <v>#NUM!</v>
      </c>
      <c r="G393" s="213" t="e">
        <f t="shared" si="142"/>
        <v>#NUM!</v>
      </c>
      <c r="H393" s="212" t="e">
        <f t="shared" si="143"/>
        <v>#NUM!</v>
      </c>
      <c r="I393" s="214" t="str">
        <f>IF(D390&lt;&gt;0,"-1T","")</f>
        <v/>
      </c>
      <c r="J393" s="215" t="e">
        <f>DATE($B395,I394,$B391)</f>
        <v>#NUM!</v>
      </c>
      <c r="K393" s="506" t="str">
        <f t="shared" si="125"/>
        <v/>
      </c>
      <c r="L393" s="470"/>
      <c r="M393" s="473" t="e">
        <f ca="1">SUM(J390-E394)&amp;" Tage"</f>
        <v>#NUM!</v>
      </c>
      <c r="N393" s="216"/>
      <c r="O393" s="217"/>
      <c r="P393" s="188"/>
      <c r="Q393" s="217"/>
      <c r="R393" s="189"/>
      <c r="S393" s="190"/>
      <c r="T393" s="190"/>
      <c r="U393" s="191"/>
      <c r="V393" s="192"/>
      <c r="W393" s="190"/>
      <c r="X393" s="190"/>
      <c r="Y393" s="191"/>
      <c r="Z393" s="192"/>
      <c r="AA393" s="190"/>
      <c r="AB393" s="190"/>
      <c r="AC393" s="191"/>
      <c r="AD393" s="192"/>
      <c r="AE393" s="190"/>
      <c r="AF393" s="190"/>
      <c r="AG393" s="191"/>
      <c r="AH393" s="193"/>
      <c r="AI393" s="190"/>
      <c r="AJ393" s="190"/>
      <c r="AK393" s="374"/>
      <c r="AL393" s="348"/>
      <c r="AM393" s="354"/>
      <c r="AN393" s="354"/>
      <c r="AO393" s="354"/>
      <c r="AP393" s="354"/>
      <c r="AQ393" s="350"/>
      <c r="AR393" s="769"/>
      <c r="AS393" s="769"/>
      <c r="AT393" s="769"/>
      <c r="BM393" s="335"/>
    </row>
    <row r="394" spans="1:65" ht="22.25" customHeight="1">
      <c r="A394" s="181">
        <f t="shared" si="144"/>
        <v>45292</v>
      </c>
      <c r="B394" s="485"/>
      <c r="C394" s="490"/>
      <c r="D394" s="521"/>
      <c r="E394" s="218" t="e">
        <f>DATE(YEAR(E393),MONTH(E393)+3,DAY(E393)-1)</f>
        <v>#NUM!</v>
      </c>
      <c r="F394" s="212" t="e">
        <f t="shared" si="141"/>
        <v>#NUM!</v>
      </c>
      <c r="G394" s="213" t="e">
        <f t="shared" si="142"/>
        <v>#NUM!</v>
      </c>
      <c r="H394" s="212" t="e">
        <f t="shared" si="143"/>
        <v>#NUM!</v>
      </c>
      <c r="I394" s="219">
        <f>MAX(I395:I398)</f>
        <v>9</v>
      </c>
      <c r="J394" s="220" t="e">
        <f>DATE(YEAR(J393)+1,MONTH(J393),DAY(J393))</f>
        <v>#NUM!</v>
      </c>
      <c r="K394" s="501" t="str">
        <f t="shared" si="125"/>
        <v>+Inflat.-P</v>
      </c>
      <c r="L394" s="508" t="e">
        <f>IF(M389="Stufe A",IF(AND(L390="Auswahl treffen",D393&gt;=0,D393&lt;=1000),J389,IF(AND(L390="Vermögend und ambulant",D393&gt;8,D393&lt;=1000),130,IF(AND(L390="Vermögend und ambulant",D393&gt;4,D393&lt;=8),158,IF(AND(L390="Vermögend und ambulant",D393&gt;2,D393&lt;=4),192,IF(AND(L390="Vermögend und ambulant",D393&gt;1,D393&lt;=2),208,IF(AND(L390="Vermögend und ambulant",D393&gt;0,D393&lt;=1),298,IF(AND(L390="Vermögend und stationär",D393&gt;8,D393&lt;=1000),78,IF(AND(L390="Vermögend und stationär",D393&gt;4,D393&lt;=8),91,IF(AND(L390="Vermögend und stationär",D393&gt;2,D393&lt;=4),140,IF(AND(L390="Vermögend und stationär",D393&gt;1,D393&lt;=2),158,IF(AND(L390="Vermögend und stationär",D393&gt;0,D393&lt;=1),200,IF(AND(L390="Mittellos und ambulant",D393&gt;8,D393&lt;=1000),105,IF(AND(L390="Mittellos und ambulant",D393&gt;4,D393&lt;=8),122,IF(AND(L390="Mittellos und ambulant",D393&gt;2,D393&lt;=4),151,IF(AND(L390="Mittellos und ambulant",D393&gt;1,D393&lt;=2),170,IF(AND(L390="Mittellos und ambulant",D393&gt;0,D393&lt;=1),208,IF(AND(L390="Mittellos und stationär",D393&gt;8,D393&lt;=1000),62,IF(AND(L390="Mittellos und stationär",D393&gt;4,D393&lt;=8),87,IF(AND(L390="Mittellos und stationär",D393&gt;2,D393&lt;=4),124,IF(AND(L390="Mittellos und stationär",D393&gt;1,D393&lt;=2),129,IF(AND(L390="Mittellos und stationär",D393&gt;0,D393&lt;=1),194,""))))))))))))))))))))),IF(M389="Stufe B",IF(AND(L390="Auswahl treffen",D393&gt;=0,D393&lt;=1000),J389,IF(AND(L390="Vermögend und ambulant",D393&gt;8,D393&lt;=1000),161,IF(AND(L390="Vermögend und ambulant",D393&gt;4,D393&lt;=8),196,IF(AND(L390="Vermögend und ambulant",D393&gt;2,D393&lt;=4),238,IF(AND(L390="Vermögend und ambulant",D393&gt;1,D393&lt;=2),258,IF(AND(L390="Vermögend und ambulant",D393&gt;0,D393&lt;=1),370,IF(AND(L390="Vermögend und stationär",D393&gt;8,D393&lt;=1000),96,IF(AND(L390="Vermögend und stationär",D393&gt;4,D393&lt;=8),113,IF(AND(L390="Vermögend und stationär",D393&gt;2,D393&lt;=4),174,IF(AND(L390="Vermögend und stationär",D393&gt;1,D393&lt;=2),196,IF(AND(L390="Vermögend und stationär",D393&gt;0,D393&lt;=1),249,IF(AND(L390="Mittellos und ambulant",D393&gt;8,D393&lt;=1000),130,IF(AND(L390="Mittellos und ambulant",D393&gt;4,D393&lt;=8),151,IF(AND(L390="Mittellos und ambulant",D393&gt;2,D393&lt;=4),188,IF(AND(L390="Mittellos und ambulant",D393&gt;1,D393&lt;=2),211,IF(AND(L390="Mittellos und ambulant",D393&gt;0,D393&lt;=1),258,IF(AND(L390="Mittellos und stationär",D393&gt;8,D393&lt;=1000),78,IF(AND(L390="Mittellos und stationär",D393&gt;4,D393&lt;=8),107,IF(AND(L390="Mittellos und stationär",D393&gt;2,D393&lt;=4),154,IF(AND(L390="Mittellos und stationär",D393&gt;1,D393&lt;=2),158,IF(AND(L390="Mittellos und stationär",D393&gt;0,D393&lt;=1),241,""))))))))))))))))))))),IF(M389="Stufe C",IF(AND(L390="Auswahl treffen",D393&gt;=0,D393&lt;=1000),J389,IF(AND(L390="Vermögend und ambulant",D393&gt;8,D393&lt;=1000),211,IF(AND(L390="Vermögend und ambulant",D393&gt;4,D393&lt;=8),257,IF(AND(L390="Vermögend und ambulant",D393&gt;2,D393&lt;=4),312,IF(AND(L390="Vermögend und ambulant",D393&gt;1,D393&lt;=2),339,IF(AND(L390="Vermögend und ambulant",D393&gt;0,D393&lt;=1),486,IF(AND(L390="Vermögend und stationär",D393&gt;8,D393&lt;=1000),127,IF(AND(L390="Vermögend und stationär",D393&gt;4,D393&lt;=8),149,IF(AND(L390="Vermögend und stationär",D393&gt;2,D393&lt;=4),229,IF(AND(L390="Vermögend und stationär",D393&gt;1,D393&lt;=2),257,IF(AND(L390="Vermögend und stationär",D393&gt;0,D393&lt;=1),327,IF(AND(L390="Mittellos und ambulant",D393&gt;8,D393&lt;=1000),171,IF(AND(L390="Mittellos und ambulant",D393&gt;4,D393&lt;=8),198,IF(AND(L390="Mittellos und ambulant",D393&gt;2,D393&lt;=4),246,IF(AND(L390="Mittellos und ambulant",D393&gt;1,D393&lt;=2),277,IF(AND(L390="Mittellos und ambulant",D393&gt;0,D393&lt;=1),339,IF(AND(L390="Mittellos und stationär",D393&gt;8,D393&lt;=1000),102,IF(AND(L390="Mittellos und stationär",D393&gt;4,D393&lt;=8),141,IF(AND(L390="Mittellos und stationär",D393&gt;2,D393&lt;=4),202,IF(AND(L390="Mittellos und stationär",D393&gt;1,D393&lt;=2),208,IF(AND(L390="Mittellos und stationär",D393&gt;0,D393&lt;=1),317,""))))))))))))))))))))),"")))*3+(J389*90)</f>
        <v>#NUM!</v>
      </c>
      <c r="M394" s="507" t="str">
        <f>CONCATENATE(K394, K393)</f>
        <v>+Inflat.-P</v>
      </c>
      <c r="N394" s="216"/>
      <c r="O394" s="188" t="s">
        <v>118</v>
      </c>
      <c r="P394" s="188"/>
      <c r="Q394" s="221"/>
      <c r="R394" s="199"/>
      <c r="S394" s="190"/>
      <c r="T394" s="190"/>
      <c r="U394" s="191"/>
      <c r="V394" s="192"/>
      <c r="W394" s="222" t="s">
        <v>118</v>
      </c>
      <c r="X394" s="222" t="s">
        <v>117</v>
      </c>
      <c r="Y394" s="191" t="s">
        <v>26</v>
      </c>
      <c r="Z394" s="192"/>
      <c r="AA394" s="190"/>
      <c r="AB394" s="190"/>
      <c r="AC394" s="191"/>
      <c r="AD394" s="192"/>
      <c r="AE394" s="190"/>
      <c r="AF394" s="190"/>
      <c r="AG394" s="191"/>
      <c r="AH394" s="193"/>
      <c r="AI394" s="190"/>
      <c r="AJ394" s="190"/>
      <c r="AK394" s="374"/>
      <c r="AL394" s="348" t="s">
        <v>149</v>
      </c>
      <c r="AM394" s="354"/>
      <c r="AN394" s="354">
        <f>IF(SUM(O390:O398)=SUM(W390:W398), 0, SUM(O390:O398)-SUM(W390:W398))</f>
        <v>0</v>
      </c>
      <c r="AO394" s="354"/>
      <c r="AP394" s="354"/>
      <c r="AQ394" s="350">
        <f>AM394+AN394+AO394+AP394</f>
        <v>0</v>
      </c>
      <c r="AR394" s="769"/>
      <c r="AS394" s="769"/>
      <c r="AT394" s="769"/>
      <c r="BM394" s="335"/>
    </row>
    <row r="395" spans="1:65" ht="22.25" customHeight="1">
      <c r="A395" s="181">
        <f t="shared" si="144"/>
        <v>45292</v>
      </c>
      <c r="B395" s="484">
        <f>YEAR($A396)-1</f>
        <v>2023</v>
      </c>
      <c r="C395" s="489" t="s">
        <v>158</v>
      </c>
      <c r="D395" s="520" t="e">
        <f>D393+1</f>
        <v>#NUM!</v>
      </c>
      <c r="E395" s="194" t="e">
        <f>DATE(YEAR(E394),MONTH(E394),DAY(E394)+1)</f>
        <v>#NUM!</v>
      </c>
      <c r="F395" s="195" t="e">
        <f t="shared" si="141"/>
        <v>#NUM!</v>
      </c>
      <c r="G395" s="196" t="e">
        <f t="shared" si="142"/>
        <v>#NUM!</v>
      </c>
      <c r="H395" s="195" t="e">
        <f t="shared" si="143"/>
        <v>#NUM!</v>
      </c>
      <c r="I395" s="197">
        <f>IF(J397&lt;13,J397,"")</f>
        <v>9</v>
      </c>
      <c r="J395" s="224">
        <f>G390</f>
        <v>0</v>
      </c>
      <c r="K395" s="506" t="str">
        <f t="shared" si="125"/>
        <v/>
      </c>
      <c r="L395" s="471"/>
      <c r="M395" s="473" t="e">
        <f ca="1">SUM(J390-E396)&amp;" Tage"</f>
        <v>#NUM!</v>
      </c>
      <c r="N395" s="200"/>
      <c r="O395" s="201"/>
      <c r="P395" s="201"/>
      <c r="Q395" s="202"/>
      <c r="R395" s="189"/>
      <c r="S395" s="203"/>
      <c r="T395" s="203"/>
      <c r="U395" s="204"/>
      <c r="V395" s="192"/>
      <c r="W395" s="203"/>
      <c r="X395" s="203"/>
      <c r="Y395" s="204"/>
      <c r="Z395" s="192"/>
      <c r="AA395" s="203"/>
      <c r="AB395" s="203"/>
      <c r="AC395" s="204"/>
      <c r="AD395" s="192"/>
      <c r="AE395" s="203"/>
      <c r="AF395" s="203"/>
      <c r="AG395" s="204"/>
      <c r="AH395" s="193"/>
      <c r="AI395" s="203"/>
      <c r="AJ395" s="203"/>
      <c r="AK395" s="375"/>
      <c r="AL395" s="348"/>
      <c r="AM395" s="354"/>
      <c r="AN395" s="354"/>
      <c r="AO395" s="354"/>
      <c r="AP395" s="354"/>
      <c r="AQ395" s="350"/>
      <c r="AR395" s="769"/>
      <c r="AS395" s="769"/>
      <c r="AT395" s="769"/>
      <c r="BM395" s="335"/>
    </row>
    <row r="396" spans="1:65" ht="22.25" customHeight="1">
      <c r="A396" s="181">
        <f t="shared" si="144"/>
        <v>45292</v>
      </c>
      <c r="B396" s="485"/>
      <c r="C396" s="490"/>
      <c r="D396" s="521"/>
      <c r="E396" s="194" t="e">
        <f>DATE(YEAR(E395),MONTH(E395)+3,DAY(E395)-1)</f>
        <v>#NUM!</v>
      </c>
      <c r="F396" s="195" t="e">
        <f t="shared" si="141"/>
        <v>#NUM!</v>
      </c>
      <c r="G396" s="196" t="e">
        <f t="shared" si="142"/>
        <v>#NUM!</v>
      </c>
      <c r="H396" s="195" t="e">
        <f t="shared" si="143"/>
        <v>#NUM!</v>
      </c>
      <c r="I396" s="244">
        <f>IF(J398&lt;13,J398,"")</f>
        <v>6</v>
      </c>
      <c r="J396" s="224">
        <f>J395+3</f>
        <v>3</v>
      </c>
      <c r="K396" s="501" t="str">
        <f t="shared" si="125"/>
        <v>+Inflat.-P</v>
      </c>
      <c r="L396" s="511" t="e">
        <f>IF(M389="Stufe A",IF(AND(L390="Auswahl treffen",D395&gt;=0,D395&lt;=1000),J389,IF(AND(L390="Vermögend und ambulant",D395&gt;8,D395&lt;=1000),130,IF(AND(L390="Vermögend und ambulant",D395&gt;4,D395&lt;=8),158,IF(AND(L390="Vermögend und ambulant",D395&gt;2,D395&lt;=4),192,IF(AND(L390="Vermögend und ambulant",D395&gt;1,D395&lt;=2),208,IF(AND(L390="Vermögend und ambulant",D395&gt;0,D395&lt;=1),298,IF(AND(L390="Vermögend und stationär",D395&gt;8,D395&lt;=1000),78,IF(AND(L390="Vermögend und stationär",D395&gt;4,D395&lt;=8),91,IF(AND(L390="Vermögend und stationär",D395&gt;2,D395&lt;=4),140,IF(AND(L390="Vermögend und stationär",D395&gt;1,D395&lt;=2),158,IF(AND(L390="Vermögend und stationär",D395&gt;0,D395&lt;=1),200,IF(AND(L390="Mittellos und ambulant",D395&gt;8,D395&lt;=1000),105,IF(AND(L390="Mittellos und ambulant",D395&gt;4,D395&lt;=8),122,IF(AND(L390="Mittellos und ambulant",D395&gt;2,D395&lt;=4),151,IF(AND(L390="Mittellos und ambulant",D395&gt;1,D395&lt;=2),170,IF(AND(L390="Mittellos und ambulant",D395&gt;0,D395&lt;=1),208,IF(AND(L390="Mittellos und stationär",D395&gt;8,D395&lt;=1000),62,IF(AND(L390="Mittellos und stationär",D395&gt;4,D395&lt;=8),87,IF(AND(L390="Mittellos und stationär",D395&gt;2,D395&lt;=4),124,IF(AND(L390="Mittellos und stationär",D395&gt;1,D395&lt;=2),129,IF(AND(L390="Mittellos und stationär",D395&gt;0,D395&lt;=1),194,""))))))))))))))))))))),IF(M389="Stufe B",IF(AND(L390="Auswahl treffen",D395&gt;=0,D395&lt;=1000),J389,IF(AND(L390="Vermögend und ambulant",D395&gt;8,D395&lt;=1000),161,IF(AND(L390="Vermögend und ambulant",D395&gt;4,D395&lt;=8),196,IF(AND(L390="Vermögend und ambulant",D395&gt;2,D395&lt;=4),238,IF(AND(L390="Vermögend und ambulant",D395&gt;1,D395&lt;=2),258,IF(AND(L390="Vermögend und ambulant",D395&gt;0,D395&lt;=1),370,IF(AND(L390="Vermögend und stationär",D395&gt;8,D395&lt;=1000),96,IF(AND(L390="Vermögend und stationär",D395&gt;4,D395&lt;=8),113,IF(AND(L390="Vermögend und stationär",D395&gt;2,D395&lt;=4),174,IF(AND(L390="Vermögend und stationär",D395&gt;1,D395&lt;=2),196,IF(AND(L390="Vermögend und stationär",D395&gt;0,D395&lt;=1),249,IF(AND(L390="Mittellos und ambulant",D395&gt;8,D395&lt;=1000),130,IF(AND(L390="Mittellos und ambulant",D395&gt;4,D395&lt;=8),151,IF(AND(L390="Mittellos und ambulant",D395&gt;2,D395&lt;=4),188,IF(AND(L390="Mittellos und ambulant",D395&gt;1,D395&lt;=2),211,IF(AND(L390="Mittellos und ambulant",D395&gt;0,D395&lt;=1),258,IF(AND(L390="Mittellos und stationär",D395&gt;8,D395&lt;=1000),78,IF(AND(L390="Mittellos und stationär",D395&gt;4,D395&lt;=8),107,IF(AND(L390="Mittellos und stationär",D395&gt;2,D395&lt;=4),154,IF(AND(L390="Mittellos und stationär",D395&gt;1,D395&lt;=2),158,IF(AND(L390="Mittellos und stationär",D395&gt;0,D395&lt;=1),241,""))))))))))))))))))))),IF(M389="Stufe C",IF(AND(L390="Auswahl treffen",D395&gt;=0,D395&lt;=1000),J389,IF(AND(L390="Vermögend und ambulant",D395&gt;8,D395&lt;=1000),211,IF(AND(L390="Vermögend und ambulant",D395&gt;4,D395&lt;=8),257,IF(AND(L390="Vermögend und ambulant",D395&gt;2,D395&lt;=4),312,IF(AND(L390="Vermögend und ambulant",D395&gt;1,D395&lt;=2),339,IF(AND(L390="Vermögend und ambulant",D395&gt;0,D395&lt;=1),486,IF(AND(L390="Vermögend und stationär",D395&gt;8,D395&lt;=1000),127,IF(AND(L390="Vermögend und stationär",D395&gt;4,D395&lt;=8),149,IF(AND(L390="Vermögend und stationär",D395&gt;2,D395&lt;=4),229,IF(AND(L390="Vermögend und stationär",D395&gt;1,D395&lt;=2),257,IF(AND(L390="Vermögend und stationär",D395&gt;0,D395&lt;=1),327,IF(AND(L390="Mittellos und ambulant",D395&gt;8,D395&lt;=1000),171,IF(AND(L390="Mittellos und ambulant",D395&gt;4,D395&lt;=8),198,IF(AND(L390="Mittellos und ambulant",D395&gt;2,D395&lt;=4),246,IF(AND(L390="Mittellos und ambulant",D395&gt;1,D395&lt;=2),277,IF(AND(L390="Mittellos und ambulant",D395&gt;0,D395&lt;=1),339,IF(AND(L390="Mittellos und stationär",D395&gt;8,D395&lt;=1000),102,IF(AND(L390="Mittellos und stationär",D395&gt;4,D395&lt;=8),141,IF(AND(L390="Mittellos und stationär",D395&gt;2,D395&lt;=4),202,IF(AND(L390="Mittellos und stationär",D395&gt;1,D395&lt;=2),208,IF(AND(L390="Mittellos und stationär",D395&gt;0,D395&lt;=1),317,""))))))))))))))))))))),"")))*3+(J389*90)</f>
        <v>#NUM!</v>
      </c>
      <c r="M396" s="507" t="str">
        <f>CONCATENATE(K396, K395)</f>
        <v>+Inflat.-P</v>
      </c>
      <c r="N396" s="206"/>
      <c r="O396" s="207"/>
      <c r="P396" s="206" t="s">
        <v>118</v>
      </c>
      <c r="Q396" s="226"/>
      <c r="R396" s="189"/>
      <c r="S396" s="203"/>
      <c r="T396" s="203"/>
      <c r="U396" s="204"/>
      <c r="V396" s="192"/>
      <c r="W396" s="203"/>
      <c r="X396" s="203"/>
      <c r="Y396" s="204"/>
      <c r="Z396" s="192"/>
      <c r="AA396" s="209" t="s">
        <v>118</v>
      </c>
      <c r="AB396" s="209" t="s">
        <v>117</v>
      </c>
      <c r="AC396" s="204" t="s">
        <v>26</v>
      </c>
      <c r="AD396" s="192"/>
      <c r="AE396" s="203"/>
      <c r="AF396" s="203"/>
      <c r="AG396" s="204"/>
      <c r="AH396" s="193"/>
      <c r="AI396" s="203"/>
      <c r="AJ396" s="203"/>
      <c r="AK396" s="375"/>
      <c r="AL396" s="348" t="s">
        <v>150</v>
      </c>
      <c r="AM396" s="354"/>
      <c r="AN396" s="354"/>
      <c r="AO396" s="354">
        <f>IF(SUM(P390:P398)=SUM(AA390:AA398), 0, SUM(P390:P398)-SUM(AA390:AA398))</f>
        <v>0</v>
      </c>
      <c r="AP396" s="354"/>
      <c r="AQ396" s="350">
        <f>AM396+AN396+AO396+AP396</f>
        <v>0</v>
      </c>
      <c r="AR396" s="769"/>
      <c r="AS396" s="769"/>
      <c r="AT396" s="769"/>
      <c r="BM396" s="335"/>
    </row>
    <row r="397" spans="1:65" ht="22.25" customHeight="1">
      <c r="A397" s="181">
        <f t="shared" si="144"/>
        <v>45292</v>
      </c>
      <c r="B397" s="486"/>
      <c r="C397" s="489" t="s">
        <v>158</v>
      </c>
      <c r="D397" s="522" t="e">
        <f>D395+1</f>
        <v>#NUM!</v>
      </c>
      <c r="E397" s="211" t="e">
        <f>DATE(YEAR(E396),MONTH(E396),DAY(E396)+1)</f>
        <v>#NUM!</v>
      </c>
      <c r="F397" s="227" t="e">
        <f t="shared" si="141"/>
        <v>#NUM!</v>
      </c>
      <c r="G397" s="228" t="e">
        <f t="shared" si="142"/>
        <v>#NUM!</v>
      </c>
      <c r="H397" s="227" t="e">
        <f t="shared" si="143"/>
        <v>#NUM!</v>
      </c>
      <c r="I397" s="231">
        <f>IF(J396&lt;13,J396,"")</f>
        <v>3</v>
      </c>
      <c r="J397" s="230">
        <f>J398+3</f>
        <v>9</v>
      </c>
      <c r="K397" s="501" t="str">
        <f t="shared" si="125"/>
        <v/>
      </c>
      <c r="L397" s="471"/>
      <c r="M397" s="473" t="e">
        <f ca="1">SUM(J390-E398)&amp;" Tage"</f>
        <v>#NUM!</v>
      </c>
      <c r="N397" s="216"/>
      <c r="O397" s="188"/>
      <c r="P397" s="188"/>
      <c r="Q397" s="217"/>
      <c r="R397" s="189"/>
      <c r="S397" s="190"/>
      <c r="T397" s="190"/>
      <c r="U397" s="191"/>
      <c r="V397" s="192"/>
      <c r="W397" s="190"/>
      <c r="X397" s="190"/>
      <c r="Y397" s="191"/>
      <c r="Z397" s="192"/>
      <c r="AA397" s="190"/>
      <c r="AB397" s="190"/>
      <c r="AC397" s="191"/>
      <c r="AD397" s="192"/>
      <c r="AE397" s="190"/>
      <c r="AF397" s="190"/>
      <c r="AG397" s="191"/>
      <c r="AH397" s="193"/>
      <c r="AI397" s="190"/>
      <c r="AJ397" s="190"/>
      <c r="AK397" s="374"/>
      <c r="AL397" s="348"/>
      <c r="AM397" s="354"/>
      <c r="AN397" s="354"/>
      <c r="AO397" s="354"/>
      <c r="AP397" s="354"/>
      <c r="AQ397" s="350"/>
      <c r="AR397" s="769"/>
      <c r="AS397" s="769"/>
      <c r="AT397" s="769"/>
      <c r="BM397" s="335"/>
    </row>
    <row r="398" spans="1:65" ht="22.25" customHeight="1">
      <c r="A398" s="181">
        <f t="shared" si="144"/>
        <v>45292</v>
      </c>
      <c r="B398" s="485"/>
      <c r="C398" s="490"/>
      <c r="D398" s="521"/>
      <c r="E398" s="218" t="e">
        <f>DATE(YEAR(E397),MONTH(E397)+3,DAY(E397)-1)</f>
        <v>#NUM!</v>
      </c>
      <c r="F398" s="227" t="e">
        <f t="shared" si="141"/>
        <v>#NUM!</v>
      </c>
      <c r="G398" s="228" t="e">
        <f t="shared" si="142"/>
        <v>#NUM!</v>
      </c>
      <c r="H398" s="227" t="e">
        <f t="shared" si="143"/>
        <v>#NUM!</v>
      </c>
      <c r="I398" s="231">
        <f>IF(J395&lt;13,J395,"")</f>
        <v>0</v>
      </c>
      <c r="J398" s="230">
        <f>J396+3</f>
        <v>6</v>
      </c>
      <c r="K398" s="506" t="str">
        <f t="shared" ref="K398:K460" si="145">K396</f>
        <v>+Inflat.-P</v>
      </c>
      <c r="L398" s="508" t="e">
        <f>IF(M389="Stufe A",IF(AND(L390="Auswahl treffen",D397&gt;=0,D397&lt;=1000),J389,IF(AND(L390="Vermögend und ambulant",D397&gt;8,D397&lt;=1000),130,IF(AND(L390="Vermögend und ambulant",D397&gt;4,D397&lt;=8),158,IF(AND(L390="Vermögend und ambulant",D397&gt;2,D397&lt;=4),192,IF(AND(L390="Vermögend und ambulant",D397&gt;1,D397&lt;=2),208,IF(AND(L390="Vermögend und ambulant",D397&gt;0,D397&lt;=1),298,IF(AND(L390="Vermögend und stationär",D397&gt;8,D397&lt;=1000),78,IF(AND(L390="Vermögend und stationär",D397&gt;4,D397&lt;=8),91,IF(AND(L390="Vermögend und stationär",D397&gt;2,D397&lt;=4),140,IF(AND(L390="Vermögend und stationär",D397&gt;1,D397&lt;=2),158,IF(AND(L390="Vermögend und stationär",D397&gt;0,D397&lt;=1),200,IF(AND(L390="Mittellos und ambulant",D397&gt;8,D397&lt;=1000),105,IF(AND(L390="Mittellos und ambulant",D397&gt;4,D397&lt;=8),122,IF(AND(L390="Mittellos und ambulant",D397&gt;2,D397&lt;=4),151,IF(AND(L390="Mittellos und ambulant",D397&gt;1,D397&lt;=2),170,IF(AND(L390="Mittellos und ambulant",D397&gt;0,D397&lt;=1),208,IF(AND(L390="Mittellos und stationär",D397&gt;8,D397&lt;=1000),62,IF(AND(L390="Mittellos und stationär",D397&gt;4,D397&lt;=8),87,IF(AND(L390="Mittellos und stationär",D397&gt;2,D397&lt;=4),124,IF(AND(L390="Mittellos und stationär",D397&gt;1,D397&lt;=2),129,IF(AND(L390="Mittellos und stationär",D397&gt;0,D397&lt;=1),194,""))))))))))))))))))))),IF(M389="Stufe B",IF(AND(L390="Auswahl treffen",D397&gt;=0,D397&lt;=1000),J389,IF(AND(L390="Vermögend und ambulant",D397&gt;8,D397&lt;=1000),161,IF(AND(L390="Vermögend und ambulant",D397&gt;4,D397&lt;=8),196,IF(AND(L390="Vermögend und ambulant",D397&gt;2,D397&lt;=4),238,IF(AND(L390="Vermögend und ambulant",D397&gt;1,D397&lt;=2),258,IF(AND(L390="Vermögend und ambulant",D397&gt;0,D397&lt;=1),370,IF(AND(L390="Vermögend und stationär",D397&gt;8,D397&lt;=1000),96,IF(AND(L390="Vermögend und stationär",D397&gt;4,D397&lt;=8),113,IF(AND(L390="Vermögend und stationär",D397&gt;2,D397&lt;=4),174,IF(AND(L390="Vermögend und stationär",D397&gt;1,D397&lt;=2),196,IF(AND(L390="Vermögend und stationär",D397&gt;0,D397&lt;=1),249,IF(AND(L390="Mittellos und ambulant",D397&gt;8,D397&lt;=1000),130,IF(AND(L390="Mittellos und ambulant",D397&gt;4,D397&lt;=8),151,IF(AND(L390="Mittellos und ambulant",D397&gt;2,D397&lt;=4),188,IF(AND(L390="Mittellos und ambulant",D397&gt;1,D397&lt;=2),211,IF(AND(L390="Mittellos und ambulant",D397&gt;0,D397&lt;=1),258,IF(AND(L390="Mittellos und stationär",D397&gt;8,D397&lt;=1000),78,IF(AND(L390="Mittellos und stationär",D397&gt;4,D397&lt;=8),107,IF(AND(L390="Mittellos und stationär",D397&gt;2,D397&lt;=4),154,IF(AND(L390="Mittellos und stationär",D397&gt;1,D397&lt;=2),158,IF(AND(L390="Mittellos und stationär",D397&gt;0,D397&lt;=1),241,""))))))))))))))))))))),IF(M389="Stufe C",IF(AND(L390="Auswahl treffen",D397&gt;=0,D397&lt;=1000),J389,IF(AND(L390="Vermögend und ambulant",D397&gt;8,D397&lt;=1000),211,IF(AND(L390="Vermögend und ambulant",D397&gt;4,D397&lt;=8),257,IF(AND(L390="Vermögend und ambulant",D397&gt;2,D397&lt;=4),312,IF(AND(L390="Vermögend und ambulant",D397&gt;1,D397&lt;=2),339,IF(AND(L390="Vermögend und ambulant",D397&gt;0,D397&lt;=1),486,IF(AND(L390="Vermögend und stationär",D397&gt;8,D397&lt;=1000),127,IF(AND(L390="Vermögend und stationär",D397&gt;4,D397&lt;=8),149,IF(AND(L390="Vermögend und stationär",D397&gt;2,D397&lt;=4),229,IF(AND(L390="Vermögend und stationär",D397&gt;1,D397&lt;=2),257,IF(AND(L390="Vermögend und stationär",D397&gt;0,D397&lt;=1),327,IF(AND(L390="Mittellos und ambulant",D397&gt;8,D397&lt;=1000),171,IF(AND(L390="Mittellos und ambulant",D397&gt;4,D397&lt;=8),198,IF(AND(L390="Mittellos und ambulant",D397&gt;2,D397&lt;=4),246,IF(AND(L390="Mittellos und ambulant",D397&gt;1,D397&lt;=2),277,IF(AND(L390="Mittellos und ambulant",D397&gt;0,D397&lt;=1),339,IF(AND(L390="Mittellos und stationär",D397&gt;8,D397&lt;=1000),102,IF(AND(L390="Mittellos und stationär",D397&gt;4,D397&lt;=8),141,IF(AND(L390="Mittellos und stationär",D397&gt;2,D397&lt;=4),202,IF(AND(L390="Mittellos und stationär",D397&gt;1,D397&lt;=2),208,IF(AND(L390="Mittellos und stationär",D397&gt;0,D397&lt;=1),317,""))))))))))))))))))))),"")))*3+(J389*90)</f>
        <v>#NUM!</v>
      </c>
      <c r="M398" s="507" t="str">
        <f>CONCATENATE(K398, K397)</f>
        <v>+Inflat.-P</v>
      </c>
      <c r="N398" s="216"/>
      <c r="O398" s="188"/>
      <c r="P398" s="188"/>
      <c r="Q398" s="217" t="s">
        <v>118</v>
      </c>
      <c r="R398" s="189"/>
      <c r="S398" s="190"/>
      <c r="T398" s="190"/>
      <c r="U398" s="191"/>
      <c r="V398" s="192"/>
      <c r="W398" s="190"/>
      <c r="X398" s="190"/>
      <c r="Y398" s="191"/>
      <c r="Z398" s="192"/>
      <c r="AA398" s="190"/>
      <c r="AB398" s="190"/>
      <c r="AC398" s="191"/>
      <c r="AD398" s="192"/>
      <c r="AE398" s="190" t="s">
        <v>118</v>
      </c>
      <c r="AF398" s="190" t="s">
        <v>117</v>
      </c>
      <c r="AG398" s="191" t="s">
        <v>26</v>
      </c>
      <c r="AH398" s="193"/>
      <c r="AI398" s="190" t="s">
        <v>118</v>
      </c>
      <c r="AJ398" s="190" t="s">
        <v>117</v>
      </c>
      <c r="AK398" s="374" t="s">
        <v>26</v>
      </c>
      <c r="AL398" s="348" t="s">
        <v>151</v>
      </c>
      <c r="AM398" s="354"/>
      <c r="AN398" s="354"/>
      <c r="AO398" s="354"/>
      <c r="AP398" s="354">
        <f>IF(SUM(Q390:Q398)=SUM(AE390:AE398,AI390:AI398), 0, SUM(Q390:Q398)-SUM(AE390:AE398,AI390:AI398))</f>
        <v>0</v>
      </c>
      <c r="AQ398" s="350">
        <f>AM398+AN398+AO398+AP398</f>
        <v>0</v>
      </c>
      <c r="AR398" s="769"/>
      <c r="AS398" s="769"/>
      <c r="AT398" s="769"/>
      <c r="BM398" s="335"/>
    </row>
    <row r="399" spans="1:65" ht="22" customHeight="1">
      <c r="A399" s="181">
        <f t="shared" si="144"/>
        <v>45292</v>
      </c>
      <c r="B399" s="232" t="s">
        <v>74</v>
      </c>
      <c r="C399" s="233" t="s">
        <v>75</v>
      </c>
      <c r="D399" s="234" t="s">
        <v>76</v>
      </c>
      <c r="E399" s="235" t="s">
        <v>11</v>
      </c>
      <c r="F399" s="235" t="s">
        <v>4</v>
      </c>
      <c r="G399" s="235" t="s">
        <v>5</v>
      </c>
      <c r="H399" s="235" t="s">
        <v>6</v>
      </c>
      <c r="I399" s="236" t="s">
        <v>77</v>
      </c>
      <c r="J399" s="479"/>
      <c r="K399" s="501" t="str">
        <f t="shared" si="145"/>
        <v/>
      </c>
      <c r="L399" s="479" t="str">
        <f>IFERROR(VLOOKUP(B400,'Aktuelle Einnahmen'!A2:J104,10,0),"")</f>
        <v/>
      </c>
      <c r="M399" s="512" t="str">
        <f>M389</f>
        <v>Stufe C</v>
      </c>
      <c r="N399" s="237"/>
      <c r="O399" s="238"/>
      <c r="P399" s="238"/>
      <c r="Q399" s="239"/>
      <c r="R399" s="240"/>
      <c r="S399" s="241"/>
      <c r="T399" s="241"/>
      <c r="U399" s="242"/>
      <c r="V399" s="243"/>
      <c r="W399" s="241"/>
      <c r="X399" s="241"/>
      <c r="Y399" s="242"/>
      <c r="Z399" s="243"/>
      <c r="AA399" s="241"/>
      <c r="AB399" s="241"/>
      <c r="AC399" s="242"/>
      <c r="AD399" s="243"/>
      <c r="AE399" s="241"/>
      <c r="AF399" s="241"/>
      <c r="AG399" s="242"/>
      <c r="AH399" s="240"/>
      <c r="AI399" s="241"/>
      <c r="AJ399" s="241"/>
      <c r="AK399" s="377"/>
      <c r="AL399" s="347"/>
      <c r="AM399" s="353"/>
      <c r="AN399" s="353"/>
      <c r="AO399" s="353"/>
      <c r="AP399" s="353"/>
      <c r="AQ399" s="349"/>
      <c r="AR399" s="768"/>
      <c r="AS399" s="768"/>
      <c r="AT399" s="768"/>
      <c r="BM399" s="335"/>
    </row>
    <row r="400" spans="1:65" ht="23" customHeight="1">
      <c r="A400" s="181">
        <f t="shared" si="144"/>
        <v>45292</v>
      </c>
      <c r="B400" s="182">
        <v>40</v>
      </c>
      <c r="C400" s="245">
        <f>IFERROR(VLOOKUP($B400,'Aktuelle Einnahmen'!A2:G104,3,0),"")</f>
        <v>0</v>
      </c>
      <c r="D400" s="246">
        <f>IFERROR(VLOOKUP($B400,'Aktuelle Einnahmen'!A2:G104,2,0),"")</f>
        <v>0</v>
      </c>
      <c r="E400" s="247">
        <f>IFERROR(VLOOKUP($B400,'Aktuelle Einnahmen'!A2:G104,4,0),"")</f>
        <v>0</v>
      </c>
      <c r="F400" s="94">
        <f>IFERROR(VLOOKUP($B400,'Aktuelle Einnahmen'!A2:G104,5,0),"")</f>
        <v>0</v>
      </c>
      <c r="G400" s="94">
        <f>IFERROR(VLOOKUP($B400,'Aktuelle Einnahmen'!A2:G104,6,0),"")</f>
        <v>0</v>
      </c>
      <c r="H400" s="94">
        <f>IFERROR(VLOOKUP($B400,'Aktuelle Einnahmen'!A2:G104,7,0),"")</f>
        <v>0</v>
      </c>
      <c r="I400" s="186" t="e">
        <f>DATE(H400,G400,F400)</f>
        <v>#NUM!</v>
      </c>
      <c r="J400" s="472">
        <f ca="1">J390</f>
        <v>45475</v>
      </c>
      <c r="K400" s="506" t="str">
        <f t="shared" si="145"/>
        <v>+Inflat.-P</v>
      </c>
      <c r="L400" s="1262" t="str">
        <f>IFERROR(VLOOKUP(B400,'Aktuelle Einnahmen'!A12:I114,9,0),"")</f>
        <v>Auswahl treffen</v>
      </c>
      <c r="M400" s="1263"/>
      <c r="N400" s="261"/>
      <c r="O400" s="261"/>
      <c r="P400" s="261"/>
      <c r="Q400" s="261"/>
      <c r="R400" s="189"/>
      <c r="S400" s="190"/>
      <c r="T400" s="190"/>
      <c r="U400" s="191"/>
      <c r="V400" s="192"/>
      <c r="W400" s="190"/>
      <c r="X400" s="190"/>
      <c r="Y400" s="191"/>
      <c r="Z400" s="192"/>
      <c r="AA400" s="190"/>
      <c r="AB400" s="190"/>
      <c r="AC400" s="191"/>
      <c r="AD400" s="192"/>
      <c r="AE400" s="190"/>
      <c r="AF400" s="190"/>
      <c r="AG400" s="191"/>
      <c r="AH400" s="193"/>
      <c r="AI400" s="190"/>
      <c r="AJ400" s="190"/>
      <c r="AK400" s="374"/>
      <c r="AL400" s="348"/>
      <c r="AM400" s="354"/>
      <c r="AN400" s="354"/>
      <c r="AO400" s="354"/>
      <c r="AP400" s="354"/>
      <c r="AQ400" s="350"/>
      <c r="AR400" s="769"/>
      <c r="AS400" s="769"/>
      <c r="AT400" s="769"/>
      <c r="BM400" s="335"/>
    </row>
    <row r="401" spans="1:65" ht="22.25" customHeight="1">
      <c r="A401" s="181">
        <f t="shared" si="144"/>
        <v>45292</v>
      </c>
      <c r="B401" s="484" t="e">
        <f>DAY(I400)</f>
        <v>#NUM!</v>
      </c>
      <c r="C401" s="489" t="s">
        <v>158</v>
      </c>
      <c r="D401" s="520" t="e">
        <f>(I401*4)+J401/3+1</f>
        <v>#NUM!</v>
      </c>
      <c r="E401" s="194" t="e">
        <f>J403+1</f>
        <v>#NUM!</v>
      </c>
      <c r="F401" s="195" t="e">
        <f t="shared" ref="F401:F408" si="146">DAY(E401)</f>
        <v>#NUM!</v>
      </c>
      <c r="G401" s="196" t="e">
        <f t="shared" ref="G401:G408" si="147">MONTH(E401)</f>
        <v>#NUM!</v>
      </c>
      <c r="H401" s="195" t="e">
        <f t="shared" ref="H401:H408" si="148">YEAR(E401)</f>
        <v>#NUM!</v>
      </c>
      <c r="I401" s="197" t="e">
        <f>H401-(H400+2000)</f>
        <v>#NUM!</v>
      </c>
      <c r="J401" s="198" t="e">
        <f>G401-G400</f>
        <v>#NUM!</v>
      </c>
      <c r="K401" s="506" t="str">
        <f>L399</f>
        <v/>
      </c>
      <c r="L401" s="469"/>
      <c r="M401" s="473" t="e">
        <f ca="1">SUM(J400-E402)&amp;" Tage"</f>
        <v>#NUM!</v>
      </c>
      <c r="N401" s="206"/>
      <c r="O401" s="201"/>
      <c r="P401" s="201"/>
      <c r="Q401" s="202"/>
      <c r="R401" s="189"/>
      <c r="S401" s="203"/>
      <c r="T401" s="203"/>
      <c r="U401" s="204"/>
      <c r="V401" s="192"/>
      <c r="W401" s="203"/>
      <c r="X401" s="203"/>
      <c r="Y401" s="204"/>
      <c r="Z401" s="192"/>
      <c r="AA401" s="203"/>
      <c r="AB401" s="203"/>
      <c r="AC401" s="204"/>
      <c r="AD401" s="192"/>
      <c r="AE401" s="203"/>
      <c r="AF401" s="203"/>
      <c r="AG401" s="204"/>
      <c r="AH401" s="193"/>
      <c r="AI401" s="203"/>
      <c r="AJ401" s="203"/>
      <c r="AK401" s="375"/>
      <c r="AL401" s="348"/>
      <c r="AM401" s="354"/>
      <c r="AN401" s="354"/>
      <c r="AO401" s="354"/>
      <c r="AP401" s="354"/>
      <c r="AQ401" s="350"/>
      <c r="AR401" s="769"/>
      <c r="AS401" s="769"/>
      <c r="AT401" s="769"/>
      <c r="BM401" s="335"/>
    </row>
    <row r="402" spans="1:65" ht="22.25" customHeight="1">
      <c r="A402" s="181">
        <f t="shared" si="144"/>
        <v>45292</v>
      </c>
      <c r="B402" s="485"/>
      <c r="C402" s="490"/>
      <c r="D402" s="521"/>
      <c r="E402" s="194" t="e">
        <f>DATE(YEAR(E401),MONTH(E401)+3,DAY(E401)-1)</f>
        <v>#NUM!</v>
      </c>
      <c r="F402" s="195" t="e">
        <f t="shared" si="146"/>
        <v>#NUM!</v>
      </c>
      <c r="G402" s="196" t="e">
        <f t="shared" si="147"/>
        <v>#NUM!</v>
      </c>
      <c r="H402" s="195" t="e">
        <f t="shared" si="148"/>
        <v>#NUM!</v>
      </c>
      <c r="I402" s="244">
        <v>-1</v>
      </c>
      <c r="J402" s="198" t="e">
        <f>F401-F400</f>
        <v>#NUM!</v>
      </c>
      <c r="K402" s="506" t="str">
        <f t="shared" si="145"/>
        <v>+Inflat.-P</v>
      </c>
      <c r="L402" s="511" t="e">
        <f>IF(M399="Stufe A",IF(AND(L400="Auswahl treffen",D401&gt;=0,D401&lt;=1000),J399,IF(AND(L400="Vermögend und ambulant",D401&gt;8,D401&lt;=1000),130,IF(AND(L400="Vermögend und ambulant",D401&gt;4,D401&lt;=8),158,IF(AND(L400="Vermögend und ambulant",D401&gt;2,D401&lt;=4),192,IF(AND(L400="Vermögend und ambulant",D401&gt;1,D401&lt;=2),208,IF(AND(L400="Vermögend und ambulant",D401&gt;0,D401&lt;=1),298,IF(AND(L400="Vermögend und stationär",D401&gt;8,D401&lt;=1000),78,IF(AND(L400="Vermögend und stationär",D401&gt;4,D401&lt;=8),91,IF(AND(L400="Vermögend und stationär",D401&gt;2,D401&lt;=4),140,IF(AND(L400="Vermögend und stationär",D401&gt;1,D401&lt;=2),158,IF(AND(L400="Vermögend und stationär",D401&gt;0,D401&lt;=1),200,IF(AND(L400="Mittellos und ambulant",D401&gt;8,D401&lt;=1000),105,IF(AND(L400="Mittellos und ambulant",D401&gt;4,D401&lt;=8),122,IF(AND(L400="Mittellos und ambulant",D401&gt;2,D401&lt;=4),151,IF(AND(L400="Mittellos und ambulant",D401&gt;1,D401&lt;=2),170,IF(AND(L400="Mittellos und ambulant",D401&gt;0,D401&lt;=1),208,IF(AND(L400="Mittellos und stationär",D401&gt;8,D401&lt;=1000),62,IF(AND(L400="Mittellos und stationär",D401&gt;4,D401&lt;=8),87,IF(AND(L400="Mittellos und stationär",D401&gt;2,D401&lt;=4),124,IF(AND(L400="Mittellos und stationär",D401&gt;1,D401&lt;=2),129,IF(AND(L400="Mittellos und stationär",D401&gt;0,D401&lt;=1),194,""))))))))))))))))))))),IF(M399="Stufe B",IF(AND(L400="Auswahl treffen",D401&gt;=0,D401&lt;=1000),J399,IF(AND(L400="Vermögend und ambulant",D401&gt;8,D401&lt;=1000),161,IF(AND(L400="Vermögend und ambulant",D401&gt;4,D401&lt;=8),196,IF(AND(L400="Vermögend und ambulant",D401&gt;2,D401&lt;=4),238,IF(AND(L400="Vermögend und ambulant",D401&gt;1,D401&lt;=2),258,IF(AND(L400="Vermögend und ambulant",D401&gt;0,D401&lt;=1),370,IF(AND(L400="Vermögend und stationär",D401&gt;8,D401&lt;=1000),96,IF(AND(L400="Vermögend und stationär",D401&gt;4,D401&lt;=8),113,IF(AND(L400="Vermögend und stationär",D401&gt;2,D401&lt;=4),174,IF(AND(L400="Vermögend und stationär",D401&gt;1,D401&lt;=2),196,IF(AND(L400="Vermögend und stationär",D401&gt;0,D401&lt;=1),249,IF(AND(L400="Mittellos und ambulant",D401&gt;8,D401&lt;=1000),130,IF(AND(L400="Mittellos und ambulant",D401&gt;4,D401&lt;=8),151,IF(AND(L400="Mittellos und ambulant",D401&gt;2,D401&lt;=4),188,IF(AND(L400="Mittellos und ambulant",D401&gt;1,D401&lt;=2),211,IF(AND(L400="Mittellos und ambulant",D401&gt;0,D401&lt;=1),258,IF(AND(L400="Mittellos und stationär",D401&gt;8,D401&lt;=1000),78,IF(AND(L400="Mittellos und stationär",D401&gt;4,D401&lt;=8),107,IF(AND(L400="Mittellos und stationär",D401&gt;2,D401&lt;=4),154,IF(AND(L400="Mittellos und stationär",D401&gt;1,D401&lt;=2),158,IF(AND(L400="Mittellos und stationär",D401&gt;0,D401&lt;=1),241,""))))))))))))))))))))),IF(M399="Stufe C",IF(AND(L400="Auswahl treffen",D401&gt;=0,D401&lt;=1000),J399,IF(AND(L400="Vermögend und ambulant",D401&gt;8,D401&lt;=1000),211,IF(AND(L400="Vermögend und ambulant",D401&gt;4,D401&lt;=8),257,IF(AND(L400="Vermögend und ambulant",D401&gt;2,D401&lt;=4),312,IF(AND(L400="Vermögend und ambulant",D401&gt;1,D401&lt;=2),339,IF(AND(L400="Vermögend und ambulant",D401&gt;0,D401&lt;=1),486,IF(AND(L400="Vermögend und stationär",D401&gt;8,D401&lt;=1000),127,IF(AND(L400="Vermögend und stationär",D401&gt;4,D401&lt;=8),149,IF(AND(L400="Vermögend und stationär",D401&gt;2,D401&lt;=4),229,IF(AND(L400="Vermögend und stationär",D401&gt;1,D401&lt;=2),257,IF(AND(L400="Vermögend und stationär",D401&gt;0,D401&lt;=1),327,IF(AND(L400="Mittellos und ambulant",D401&gt;8,D401&lt;=1000),171,IF(AND(L400="Mittellos und ambulant",D401&gt;4,D401&lt;=8),198,IF(AND(L400="Mittellos und ambulant",D401&gt;2,D401&lt;=4),246,IF(AND(L400="Mittellos und ambulant",D401&gt;1,D401&lt;=2),277,IF(AND(L400="Mittellos und ambulant",D401&gt;0,D401&lt;=1),339,IF(AND(L400="Mittellos und stationär",D401&gt;8,D401&lt;=1000),102,IF(AND(L400="Mittellos und stationär",D401&gt;4,D401&lt;=8),141,IF(AND(L400="Mittellos und stationär",D401&gt;2,D401&lt;=4),202,IF(AND(L400="Mittellos und stationär",D401&gt;1,D401&lt;=2),208,IF(AND(L400="Mittellos und stationär",D401&gt;0,D401&lt;=1),317,""))))))))))))))))))))),"")))*3+(J399*90)</f>
        <v>#NUM!</v>
      </c>
      <c r="M402" s="507" t="str">
        <f>CONCATENATE(K402, K401)</f>
        <v>+Inflat.-P</v>
      </c>
      <c r="N402" s="206" t="s">
        <v>118</v>
      </c>
      <c r="O402" s="207"/>
      <c r="P402" s="207"/>
      <c r="Q402" s="208"/>
      <c r="R402" s="187"/>
      <c r="S402" s="209" t="s">
        <v>118</v>
      </c>
      <c r="T402" s="201" t="s">
        <v>117</v>
      </c>
      <c r="U402" s="210" t="s">
        <v>26</v>
      </c>
      <c r="V402" s="192"/>
      <c r="W402" s="203"/>
      <c r="X402" s="203"/>
      <c r="Y402" s="210"/>
      <c r="Z402" s="192"/>
      <c r="AA402" s="203"/>
      <c r="AB402" s="203"/>
      <c r="AC402" s="210"/>
      <c r="AD402" s="192"/>
      <c r="AE402" s="203"/>
      <c r="AF402" s="203"/>
      <c r="AG402" s="210"/>
      <c r="AH402" s="193"/>
      <c r="AI402" s="203"/>
      <c r="AJ402" s="203"/>
      <c r="AK402" s="376"/>
      <c r="AL402" s="348" t="s">
        <v>148</v>
      </c>
      <c r="AM402" s="354">
        <f>IF(SUM(N400:N408)=SUM(S400:S408), 0, SUM(N400:N408)-SUM(S400:S408))</f>
        <v>0</v>
      </c>
      <c r="AN402" s="354"/>
      <c r="AO402" s="354"/>
      <c r="AP402" s="354"/>
      <c r="AQ402" s="350">
        <f>AM402+AN402+AO402+AP402</f>
        <v>0</v>
      </c>
      <c r="AR402" s="769"/>
      <c r="AS402" s="769"/>
      <c r="AT402" s="769"/>
      <c r="BM402" s="335"/>
    </row>
    <row r="403" spans="1:65" ht="22.25" customHeight="1">
      <c r="A403" s="181">
        <f t="shared" si="144"/>
        <v>45292</v>
      </c>
      <c r="B403" s="484" t="e">
        <f>MONTH(I400)</f>
        <v>#NUM!</v>
      </c>
      <c r="C403" s="489" t="s">
        <v>158</v>
      </c>
      <c r="D403" s="522" t="e">
        <f>D401+1</f>
        <v>#NUM!</v>
      </c>
      <c r="E403" s="211" t="e">
        <f>DATE(YEAR(E402),MONTH(E402),DAY(E402)+1)</f>
        <v>#NUM!</v>
      </c>
      <c r="F403" s="212" t="e">
        <f t="shared" si="146"/>
        <v>#NUM!</v>
      </c>
      <c r="G403" s="213" t="e">
        <f t="shared" si="147"/>
        <v>#NUM!</v>
      </c>
      <c r="H403" s="212" t="e">
        <f t="shared" si="148"/>
        <v>#NUM!</v>
      </c>
      <c r="I403" s="214" t="str">
        <f>IF(D400&lt;&gt;0,"-1T","")</f>
        <v/>
      </c>
      <c r="J403" s="215" t="e">
        <f>DATE($B405,I404,$B401)</f>
        <v>#NUM!</v>
      </c>
      <c r="K403" s="501" t="str">
        <f t="shared" si="145"/>
        <v/>
      </c>
      <c r="L403" s="470"/>
      <c r="M403" s="473" t="e">
        <f ca="1">SUM(J400-E404)&amp;" Tage"</f>
        <v>#NUM!</v>
      </c>
      <c r="N403" s="216"/>
      <c r="O403" s="217"/>
      <c r="P403" s="188"/>
      <c r="Q403" s="217"/>
      <c r="R403" s="189"/>
      <c r="S403" s="190"/>
      <c r="T403" s="190"/>
      <c r="U403" s="191"/>
      <c r="V403" s="192"/>
      <c r="W403" s="190"/>
      <c r="X403" s="190"/>
      <c r="Y403" s="191"/>
      <c r="Z403" s="192"/>
      <c r="AA403" s="190"/>
      <c r="AB403" s="190"/>
      <c r="AC403" s="191"/>
      <c r="AD403" s="192"/>
      <c r="AE403" s="190"/>
      <c r="AF403" s="190"/>
      <c r="AG403" s="191"/>
      <c r="AH403" s="193"/>
      <c r="AI403" s="190"/>
      <c r="AJ403" s="190"/>
      <c r="AK403" s="374"/>
      <c r="AL403" s="348"/>
      <c r="AM403" s="354"/>
      <c r="AN403" s="354"/>
      <c r="AO403" s="354"/>
      <c r="AP403" s="354"/>
      <c r="AQ403" s="350"/>
      <c r="AR403" s="769"/>
      <c r="AS403" s="769"/>
      <c r="AT403" s="769"/>
      <c r="BM403" s="335"/>
    </row>
    <row r="404" spans="1:65" ht="22.25" customHeight="1">
      <c r="A404" s="181">
        <f t="shared" si="144"/>
        <v>45292</v>
      </c>
      <c r="B404" s="485"/>
      <c r="C404" s="490"/>
      <c r="D404" s="521"/>
      <c r="E404" s="218" t="e">
        <f>DATE(YEAR(E403),MONTH(E403)+3,DAY(E403)-1)</f>
        <v>#NUM!</v>
      </c>
      <c r="F404" s="212" t="e">
        <f t="shared" si="146"/>
        <v>#NUM!</v>
      </c>
      <c r="G404" s="213" t="e">
        <f t="shared" si="147"/>
        <v>#NUM!</v>
      </c>
      <c r="H404" s="212" t="e">
        <f t="shared" si="148"/>
        <v>#NUM!</v>
      </c>
      <c r="I404" s="219">
        <f>MAX(I405:I408)</f>
        <v>9</v>
      </c>
      <c r="J404" s="220" t="e">
        <f>DATE(YEAR(J403)+1,MONTH(J403),DAY(J403))</f>
        <v>#NUM!</v>
      </c>
      <c r="K404" s="501" t="str">
        <f t="shared" si="145"/>
        <v>+Inflat.-P</v>
      </c>
      <c r="L404" s="508" t="e">
        <f>IF(M399="Stufe A",IF(AND(L400="Auswahl treffen",D403&gt;=0,D403&lt;=1000),J399,IF(AND(L400="Vermögend und ambulant",D403&gt;8,D403&lt;=1000),130,IF(AND(L400="Vermögend und ambulant",D403&gt;4,D403&lt;=8),158,IF(AND(L400="Vermögend und ambulant",D403&gt;2,D403&lt;=4),192,IF(AND(L400="Vermögend und ambulant",D403&gt;1,D403&lt;=2),208,IF(AND(L400="Vermögend und ambulant",D403&gt;0,D403&lt;=1),298,IF(AND(L400="Vermögend und stationär",D403&gt;8,D403&lt;=1000),78,IF(AND(L400="Vermögend und stationär",D403&gt;4,D403&lt;=8),91,IF(AND(L400="Vermögend und stationär",D403&gt;2,D403&lt;=4),140,IF(AND(L400="Vermögend und stationär",D403&gt;1,D403&lt;=2),158,IF(AND(L400="Vermögend und stationär",D403&gt;0,D403&lt;=1),200,IF(AND(L400="Mittellos und ambulant",D403&gt;8,D403&lt;=1000),105,IF(AND(L400="Mittellos und ambulant",D403&gt;4,D403&lt;=8),122,IF(AND(L400="Mittellos und ambulant",D403&gt;2,D403&lt;=4),151,IF(AND(L400="Mittellos und ambulant",D403&gt;1,D403&lt;=2),170,IF(AND(L400="Mittellos und ambulant",D403&gt;0,D403&lt;=1),208,IF(AND(L400="Mittellos und stationär",D403&gt;8,D403&lt;=1000),62,IF(AND(L400="Mittellos und stationär",D403&gt;4,D403&lt;=8),87,IF(AND(L400="Mittellos und stationär",D403&gt;2,D403&lt;=4),124,IF(AND(L400="Mittellos und stationär",D403&gt;1,D403&lt;=2),129,IF(AND(L400="Mittellos und stationär",D403&gt;0,D403&lt;=1),194,""))))))))))))))))))))),IF(M399="Stufe B",IF(AND(L400="Auswahl treffen",D403&gt;=0,D403&lt;=1000),J399,IF(AND(L400="Vermögend und ambulant",D403&gt;8,D403&lt;=1000),161,IF(AND(L400="Vermögend und ambulant",D403&gt;4,D403&lt;=8),196,IF(AND(L400="Vermögend und ambulant",D403&gt;2,D403&lt;=4),238,IF(AND(L400="Vermögend und ambulant",D403&gt;1,D403&lt;=2),258,IF(AND(L400="Vermögend und ambulant",D403&gt;0,D403&lt;=1),370,IF(AND(L400="Vermögend und stationär",D403&gt;8,D403&lt;=1000),96,IF(AND(L400="Vermögend und stationär",D403&gt;4,D403&lt;=8),113,IF(AND(L400="Vermögend und stationär",D403&gt;2,D403&lt;=4),174,IF(AND(L400="Vermögend und stationär",D403&gt;1,D403&lt;=2),196,IF(AND(L400="Vermögend und stationär",D403&gt;0,D403&lt;=1),249,IF(AND(L400="Mittellos und ambulant",D403&gt;8,D403&lt;=1000),130,IF(AND(L400="Mittellos und ambulant",D403&gt;4,D403&lt;=8),151,IF(AND(L400="Mittellos und ambulant",D403&gt;2,D403&lt;=4),188,IF(AND(L400="Mittellos und ambulant",D403&gt;1,D403&lt;=2),211,IF(AND(L400="Mittellos und ambulant",D403&gt;0,D403&lt;=1),258,IF(AND(L400="Mittellos und stationär",D403&gt;8,D403&lt;=1000),78,IF(AND(L400="Mittellos und stationär",D403&gt;4,D403&lt;=8),107,IF(AND(L400="Mittellos und stationär",D403&gt;2,D403&lt;=4),154,IF(AND(L400="Mittellos und stationär",D403&gt;1,D403&lt;=2),158,IF(AND(L400="Mittellos und stationär",D403&gt;0,D403&lt;=1),241,""))))))))))))))))))))),IF(M399="Stufe C",IF(AND(L400="Auswahl treffen",D403&gt;=0,D403&lt;=1000),J399,IF(AND(L400="Vermögend und ambulant",D403&gt;8,D403&lt;=1000),211,IF(AND(L400="Vermögend und ambulant",D403&gt;4,D403&lt;=8),257,IF(AND(L400="Vermögend und ambulant",D403&gt;2,D403&lt;=4),312,IF(AND(L400="Vermögend und ambulant",D403&gt;1,D403&lt;=2),339,IF(AND(L400="Vermögend und ambulant",D403&gt;0,D403&lt;=1),486,IF(AND(L400="Vermögend und stationär",D403&gt;8,D403&lt;=1000),127,IF(AND(L400="Vermögend und stationär",D403&gt;4,D403&lt;=8),149,IF(AND(L400="Vermögend und stationär",D403&gt;2,D403&lt;=4),229,IF(AND(L400="Vermögend und stationär",D403&gt;1,D403&lt;=2),257,IF(AND(L400="Vermögend und stationär",D403&gt;0,D403&lt;=1),327,IF(AND(L400="Mittellos und ambulant",D403&gt;8,D403&lt;=1000),171,IF(AND(L400="Mittellos und ambulant",D403&gt;4,D403&lt;=8),198,IF(AND(L400="Mittellos und ambulant",D403&gt;2,D403&lt;=4),246,IF(AND(L400="Mittellos und ambulant",D403&gt;1,D403&lt;=2),277,IF(AND(L400="Mittellos und ambulant",D403&gt;0,D403&lt;=1),339,IF(AND(L400="Mittellos und stationär",D403&gt;8,D403&lt;=1000),102,IF(AND(L400="Mittellos und stationär",D403&gt;4,D403&lt;=8),141,IF(AND(L400="Mittellos und stationär",D403&gt;2,D403&lt;=4),202,IF(AND(L400="Mittellos und stationär",D403&gt;1,D403&lt;=2),208,IF(AND(L400="Mittellos und stationär",D403&gt;0,D403&lt;=1),317,""))))))))))))))))))))),"")))*3+(J399*90)</f>
        <v>#NUM!</v>
      </c>
      <c r="M404" s="507" t="str">
        <f>CONCATENATE(K404, K403)</f>
        <v>+Inflat.-P</v>
      </c>
      <c r="N404" s="216"/>
      <c r="O404" s="188" t="s">
        <v>118</v>
      </c>
      <c r="P404" s="188"/>
      <c r="Q404" s="221"/>
      <c r="R404" s="199"/>
      <c r="S404" s="190"/>
      <c r="T404" s="190"/>
      <c r="U404" s="191"/>
      <c r="V404" s="192"/>
      <c r="W404" s="222" t="s">
        <v>118</v>
      </c>
      <c r="X404" s="222" t="s">
        <v>117</v>
      </c>
      <c r="Y404" s="191" t="s">
        <v>26</v>
      </c>
      <c r="Z404" s="192"/>
      <c r="AA404" s="190"/>
      <c r="AB404" s="190"/>
      <c r="AC404" s="191"/>
      <c r="AD404" s="192"/>
      <c r="AE404" s="190"/>
      <c r="AF404" s="190"/>
      <c r="AG404" s="191"/>
      <c r="AH404" s="193"/>
      <c r="AI404" s="190"/>
      <c r="AJ404" s="190"/>
      <c r="AK404" s="374"/>
      <c r="AL404" s="348" t="s">
        <v>149</v>
      </c>
      <c r="AM404" s="354"/>
      <c r="AN404" s="354">
        <f>IF(SUM(O400:O408)=SUM(W400:W408), 0, SUM(O400:O408)-SUM(W400:W408))</f>
        <v>0</v>
      </c>
      <c r="AO404" s="354"/>
      <c r="AP404" s="354"/>
      <c r="AQ404" s="350">
        <f>AM404+AN404+AO404+AP404</f>
        <v>0</v>
      </c>
      <c r="AR404" s="769"/>
      <c r="AS404" s="769"/>
      <c r="AT404" s="769"/>
      <c r="BM404" s="335"/>
    </row>
    <row r="405" spans="1:65" ht="22.25" customHeight="1">
      <c r="A405" s="181">
        <f t="shared" si="144"/>
        <v>45292</v>
      </c>
      <c r="B405" s="484">
        <f>YEAR($A406)-1</f>
        <v>2023</v>
      </c>
      <c r="C405" s="489" t="s">
        <v>158</v>
      </c>
      <c r="D405" s="520" t="e">
        <f>D403+1</f>
        <v>#NUM!</v>
      </c>
      <c r="E405" s="194" t="e">
        <f>DATE(YEAR(E404),MONTH(E404),DAY(E404)+1)</f>
        <v>#NUM!</v>
      </c>
      <c r="F405" s="195" t="e">
        <f t="shared" si="146"/>
        <v>#NUM!</v>
      </c>
      <c r="G405" s="196" t="e">
        <f t="shared" si="147"/>
        <v>#NUM!</v>
      </c>
      <c r="H405" s="195" t="e">
        <f t="shared" si="148"/>
        <v>#NUM!</v>
      </c>
      <c r="I405" s="197">
        <f>IF(J407&lt;13,J407,"")</f>
        <v>9</v>
      </c>
      <c r="J405" s="224">
        <f>G400</f>
        <v>0</v>
      </c>
      <c r="K405" s="506" t="str">
        <f t="shared" si="145"/>
        <v/>
      </c>
      <c r="L405" s="471"/>
      <c r="M405" s="473" t="e">
        <f ca="1">SUM(J400-E406)&amp;" Tage"</f>
        <v>#NUM!</v>
      </c>
      <c r="N405" s="200"/>
      <c r="O405" s="201"/>
      <c r="P405" s="201"/>
      <c r="Q405" s="202"/>
      <c r="R405" s="189"/>
      <c r="S405" s="203"/>
      <c r="T405" s="203"/>
      <c r="U405" s="204"/>
      <c r="V405" s="192"/>
      <c r="W405" s="203"/>
      <c r="X405" s="203"/>
      <c r="Y405" s="204"/>
      <c r="Z405" s="192"/>
      <c r="AA405" s="203"/>
      <c r="AB405" s="203"/>
      <c r="AC405" s="204"/>
      <c r="AD405" s="192"/>
      <c r="AE405" s="203"/>
      <c r="AF405" s="203"/>
      <c r="AG405" s="204"/>
      <c r="AH405" s="193"/>
      <c r="AI405" s="203"/>
      <c r="AJ405" s="203"/>
      <c r="AK405" s="375"/>
      <c r="AL405" s="348"/>
      <c r="AM405" s="354"/>
      <c r="AN405" s="354"/>
      <c r="AO405" s="354"/>
      <c r="AP405" s="354"/>
      <c r="AQ405" s="350"/>
      <c r="AR405" s="769"/>
      <c r="AS405" s="769"/>
      <c r="AT405" s="769"/>
      <c r="BM405" s="335"/>
    </row>
    <row r="406" spans="1:65" ht="22.25" customHeight="1">
      <c r="A406" s="181">
        <f t="shared" si="144"/>
        <v>45292</v>
      </c>
      <c r="B406" s="485"/>
      <c r="C406" s="490"/>
      <c r="D406" s="521"/>
      <c r="E406" s="194" t="e">
        <f>DATE(YEAR(E405),MONTH(E405)+3,DAY(E405)-1)</f>
        <v>#NUM!</v>
      </c>
      <c r="F406" s="195" t="e">
        <f t="shared" si="146"/>
        <v>#NUM!</v>
      </c>
      <c r="G406" s="196" t="e">
        <f t="shared" si="147"/>
        <v>#NUM!</v>
      </c>
      <c r="H406" s="195" t="e">
        <f t="shared" si="148"/>
        <v>#NUM!</v>
      </c>
      <c r="I406" s="244">
        <f>IF(J408&lt;13,J408,"")</f>
        <v>6</v>
      </c>
      <c r="J406" s="224">
        <f>J405+3</f>
        <v>3</v>
      </c>
      <c r="K406" s="501" t="str">
        <f t="shared" si="145"/>
        <v>+Inflat.-P</v>
      </c>
      <c r="L406" s="511" t="e">
        <f>IF(M399="Stufe A",IF(AND(L400="Auswahl treffen",D405&gt;=0,D405&lt;=1000),J399,IF(AND(L400="Vermögend und ambulant",D405&gt;8,D405&lt;=1000),130,IF(AND(L400="Vermögend und ambulant",D405&gt;4,D405&lt;=8),158,IF(AND(L400="Vermögend und ambulant",D405&gt;2,D405&lt;=4),192,IF(AND(L400="Vermögend und ambulant",D405&gt;1,D405&lt;=2),208,IF(AND(L400="Vermögend und ambulant",D405&gt;0,D405&lt;=1),298,IF(AND(L400="Vermögend und stationär",D405&gt;8,D405&lt;=1000),78,IF(AND(L400="Vermögend und stationär",D405&gt;4,D405&lt;=8),91,IF(AND(L400="Vermögend und stationär",D405&gt;2,D405&lt;=4),140,IF(AND(L400="Vermögend und stationär",D405&gt;1,D405&lt;=2),158,IF(AND(L400="Vermögend und stationär",D405&gt;0,D405&lt;=1),200,IF(AND(L400="Mittellos und ambulant",D405&gt;8,D405&lt;=1000),105,IF(AND(L400="Mittellos und ambulant",D405&gt;4,D405&lt;=8),122,IF(AND(L400="Mittellos und ambulant",D405&gt;2,D405&lt;=4),151,IF(AND(L400="Mittellos und ambulant",D405&gt;1,D405&lt;=2),170,IF(AND(L400="Mittellos und ambulant",D405&gt;0,D405&lt;=1),208,IF(AND(L400="Mittellos und stationär",D405&gt;8,D405&lt;=1000),62,IF(AND(L400="Mittellos und stationär",D405&gt;4,D405&lt;=8),87,IF(AND(L400="Mittellos und stationär",D405&gt;2,D405&lt;=4),124,IF(AND(L400="Mittellos und stationär",D405&gt;1,D405&lt;=2),129,IF(AND(L400="Mittellos und stationär",D405&gt;0,D405&lt;=1),194,""))))))))))))))))))))),IF(M399="Stufe B",IF(AND(L400="Auswahl treffen",D405&gt;=0,D405&lt;=1000),J399,IF(AND(L400="Vermögend und ambulant",D405&gt;8,D405&lt;=1000),161,IF(AND(L400="Vermögend und ambulant",D405&gt;4,D405&lt;=8),196,IF(AND(L400="Vermögend und ambulant",D405&gt;2,D405&lt;=4),238,IF(AND(L400="Vermögend und ambulant",D405&gt;1,D405&lt;=2),258,IF(AND(L400="Vermögend und ambulant",D405&gt;0,D405&lt;=1),370,IF(AND(L400="Vermögend und stationär",D405&gt;8,D405&lt;=1000),96,IF(AND(L400="Vermögend und stationär",D405&gt;4,D405&lt;=8),113,IF(AND(L400="Vermögend und stationär",D405&gt;2,D405&lt;=4),174,IF(AND(L400="Vermögend und stationär",D405&gt;1,D405&lt;=2),196,IF(AND(L400="Vermögend und stationär",D405&gt;0,D405&lt;=1),249,IF(AND(L400="Mittellos und ambulant",D405&gt;8,D405&lt;=1000),130,IF(AND(L400="Mittellos und ambulant",D405&gt;4,D405&lt;=8),151,IF(AND(L400="Mittellos und ambulant",D405&gt;2,D405&lt;=4),188,IF(AND(L400="Mittellos und ambulant",D405&gt;1,D405&lt;=2),211,IF(AND(L400="Mittellos und ambulant",D405&gt;0,D405&lt;=1),258,IF(AND(L400="Mittellos und stationär",D405&gt;8,D405&lt;=1000),78,IF(AND(L400="Mittellos und stationär",D405&gt;4,D405&lt;=8),107,IF(AND(L400="Mittellos und stationär",D405&gt;2,D405&lt;=4),154,IF(AND(L400="Mittellos und stationär",D405&gt;1,D405&lt;=2),158,IF(AND(L400="Mittellos und stationär",D405&gt;0,D405&lt;=1),241,""))))))))))))))))))))),IF(M399="Stufe C",IF(AND(L400="Auswahl treffen",D405&gt;=0,D405&lt;=1000),J399,IF(AND(L400="Vermögend und ambulant",D405&gt;8,D405&lt;=1000),211,IF(AND(L400="Vermögend und ambulant",D405&gt;4,D405&lt;=8),257,IF(AND(L400="Vermögend und ambulant",D405&gt;2,D405&lt;=4),312,IF(AND(L400="Vermögend und ambulant",D405&gt;1,D405&lt;=2),339,IF(AND(L400="Vermögend und ambulant",D405&gt;0,D405&lt;=1),486,IF(AND(L400="Vermögend und stationär",D405&gt;8,D405&lt;=1000),127,IF(AND(L400="Vermögend und stationär",D405&gt;4,D405&lt;=8),149,IF(AND(L400="Vermögend und stationär",D405&gt;2,D405&lt;=4),229,IF(AND(L400="Vermögend und stationär",D405&gt;1,D405&lt;=2),257,IF(AND(L400="Vermögend und stationär",D405&gt;0,D405&lt;=1),327,IF(AND(L400="Mittellos und ambulant",D405&gt;8,D405&lt;=1000),171,IF(AND(L400="Mittellos und ambulant",D405&gt;4,D405&lt;=8),198,IF(AND(L400="Mittellos und ambulant",D405&gt;2,D405&lt;=4),246,IF(AND(L400="Mittellos und ambulant",D405&gt;1,D405&lt;=2),277,IF(AND(L400="Mittellos und ambulant",D405&gt;0,D405&lt;=1),339,IF(AND(L400="Mittellos und stationär",D405&gt;8,D405&lt;=1000),102,IF(AND(L400="Mittellos und stationär",D405&gt;4,D405&lt;=8),141,IF(AND(L400="Mittellos und stationär",D405&gt;2,D405&lt;=4),202,IF(AND(L400="Mittellos und stationär",D405&gt;1,D405&lt;=2),208,IF(AND(L400="Mittellos und stationär",D405&gt;0,D405&lt;=1),317,""))))))))))))))))))))),"")))*3+(J399*90)</f>
        <v>#NUM!</v>
      </c>
      <c r="M406" s="507" t="str">
        <f>CONCATENATE(K406, K405)</f>
        <v>+Inflat.-P</v>
      </c>
      <c r="N406" s="206"/>
      <c r="O406" s="207"/>
      <c r="P406" s="206" t="s">
        <v>118</v>
      </c>
      <c r="Q406" s="226"/>
      <c r="R406" s="189"/>
      <c r="S406" s="203"/>
      <c r="T406" s="203"/>
      <c r="U406" s="204"/>
      <c r="V406" s="192"/>
      <c r="W406" s="203"/>
      <c r="X406" s="203"/>
      <c r="Y406" s="204"/>
      <c r="Z406" s="192"/>
      <c r="AA406" s="209" t="s">
        <v>118</v>
      </c>
      <c r="AB406" s="209" t="s">
        <v>117</v>
      </c>
      <c r="AC406" s="204" t="s">
        <v>26</v>
      </c>
      <c r="AD406" s="192"/>
      <c r="AE406" s="203"/>
      <c r="AF406" s="203"/>
      <c r="AG406" s="204"/>
      <c r="AH406" s="193"/>
      <c r="AI406" s="203"/>
      <c r="AJ406" s="203"/>
      <c r="AK406" s="375"/>
      <c r="AL406" s="348" t="s">
        <v>150</v>
      </c>
      <c r="AM406" s="354"/>
      <c r="AN406" s="354"/>
      <c r="AO406" s="354">
        <f>IF(SUM(P400:P408)=SUM(AA400:AA408), 0, SUM(P400:P408)-SUM(AA400:AA408))</f>
        <v>0</v>
      </c>
      <c r="AP406" s="354"/>
      <c r="AQ406" s="350">
        <f>AM406+AN406+AO406+AP406</f>
        <v>0</v>
      </c>
      <c r="AR406" s="769"/>
      <c r="AS406" s="769"/>
      <c r="AT406" s="769"/>
      <c r="BM406" s="335"/>
    </row>
    <row r="407" spans="1:65" ht="22.25" customHeight="1">
      <c r="A407" s="181">
        <f t="shared" si="144"/>
        <v>45292</v>
      </c>
      <c r="B407" s="486"/>
      <c r="C407" s="489" t="s">
        <v>158</v>
      </c>
      <c r="D407" s="522" t="e">
        <f>D405+1</f>
        <v>#NUM!</v>
      </c>
      <c r="E407" s="211" t="e">
        <f>DATE(YEAR(E406),MONTH(E406),DAY(E406)+1)</f>
        <v>#NUM!</v>
      </c>
      <c r="F407" s="227" t="e">
        <f t="shared" si="146"/>
        <v>#NUM!</v>
      </c>
      <c r="G407" s="228" t="e">
        <f t="shared" si="147"/>
        <v>#NUM!</v>
      </c>
      <c r="H407" s="227" t="e">
        <f t="shared" si="148"/>
        <v>#NUM!</v>
      </c>
      <c r="I407" s="231">
        <f>IF(J406&lt;13,J406,"")</f>
        <v>3</v>
      </c>
      <c r="J407" s="230">
        <f>J408+3</f>
        <v>9</v>
      </c>
      <c r="K407" s="506" t="str">
        <f t="shared" si="145"/>
        <v/>
      </c>
      <c r="L407" s="471"/>
      <c r="M407" s="473" t="e">
        <f ca="1">SUM(J400-E408)&amp;" Tage"</f>
        <v>#NUM!</v>
      </c>
      <c r="N407" s="216"/>
      <c r="O407" s="188"/>
      <c r="P407" s="188"/>
      <c r="Q407" s="217"/>
      <c r="R407" s="189"/>
      <c r="S407" s="190"/>
      <c r="T407" s="190"/>
      <c r="U407" s="191"/>
      <c r="V407" s="192"/>
      <c r="W407" s="190"/>
      <c r="X407" s="190"/>
      <c r="Y407" s="191"/>
      <c r="Z407" s="192"/>
      <c r="AA407" s="190"/>
      <c r="AB407" s="190"/>
      <c r="AC407" s="191"/>
      <c r="AD407" s="192"/>
      <c r="AE407" s="190"/>
      <c r="AF407" s="190"/>
      <c r="AG407" s="191"/>
      <c r="AH407" s="193"/>
      <c r="AI407" s="190"/>
      <c r="AJ407" s="190"/>
      <c r="AK407" s="374"/>
      <c r="AL407" s="348"/>
      <c r="AM407" s="354"/>
      <c r="AN407" s="354"/>
      <c r="AO407" s="354"/>
      <c r="AP407" s="354"/>
      <c r="AQ407" s="350"/>
      <c r="AR407" s="769"/>
      <c r="AS407" s="769"/>
      <c r="AT407" s="769"/>
      <c r="BM407" s="335"/>
    </row>
    <row r="408" spans="1:65" ht="22.25" customHeight="1">
      <c r="A408" s="181">
        <f t="shared" si="144"/>
        <v>45292</v>
      </c>
      <c r="B408" s="485"/>
      <c r="C408" s="490"/>
      <c r="D408" s="521"/>
      <c r="E408" s="218" t="e">
        <f>DATE(YEAR(E407),MONTH(E407)+3,DAY(E407)-1)</f>
        <v>#NUM!</v>
      </c>
      <c r="F408" s="227" t="e">
        <f t="shared" si="146"/>
        <v>#NUM!</v>
      </c>
      <c r="G408" s="228" t="e">
        <f t="shared" si="147"/>
        <v>#NUM!</v>
      </c>
      <c r="H408" s="227" t="e">
        <f t="shared" si="148"/>
        <v>#NUM!</v>
      </c>
      <c r="I408" s="231">
        <f>IF(J405&lt;13,J405,"")</f>
        <v>0</v>
      </c>
      <c r="J408" s="230">
        <f>J406+3</f>
        <v>6</v>
      </c>
      <c r="K408" s="501" t="str">
        <f t="shared" si="145"/>
        <v>+Inflat.-P</v>
      </c>
      <c r="L408" s="508" t="e">
        <f>IF(M399="Stufe A",IF(AND(L400="Auswahl treffen",D407&gt;=0,D407&lt;=1000),J399,IF(AND(L400="Vermögend und ambulant",D407&gt;8,D407&lt;=1000),130,IF(AND(L400="Vermögend und ambulant",D407&gt;4,D407&lt;=8),158,IF(AND(L400="Vermögend und ambulant",D407&gt;2,D407&lt;=4),192,IF(AND(L400="Vermögend und ambulant",D407&gt;1,D407&lt;=2),208,IF(AND(L400="Vermögend und ambulant",D407&gt;0,D407&lt;=1),298,IF(AND(L400="Vermögend und stationär",D407&gt;8,D407&lt;=1000),78,IF(AND(L400="Vermögend und stationär",D407&gt;4,D407&lt;=8),91,IF(AND(L400="Vermögend und stationär",D407&gt;2,D407&lt;=4),140,IF(AND(L400="Vermögend und stationär",D407&gt;1,D407&lt;=2),158,IF(AND(L400="Vermögend und stationär",D407&gt;0,D407&lt;=1),200,IF(AND(L400="Mittellos und ambulant",D407&gt;8,D407&lt;=1000),105,IF(AND(L400="Mittellos und ambulant",D407&gt;4,D407&lt;=8),122,IF(AND(L400="Mittellos und ambulant",D407&gt;2,D407&lt;=4),151,IF(AND(L400="Mittellos und ambulant",D407&gt;1,D407&lt;=2),170,IF(AND(L400="Mittellos und ambulant",D407&gt;0,D407&lt;=1),208,IF(AND(L400="Mittellos und stationär",D407&gt;8,D407&lt;=1000),62,IF(AND(L400="Mittellos und stationär",D407&gt;4,D407&lt;=8),87,IF(AND(L400="Mittellos und stationär",D407&gt;2,D407&lt;=4),124,IF(AND(L400="Mittellos und stationär",D407&gt;1,D407&lt;=2),129,IF(AND(L400="Mittellos und stationär",D407&gt;0,D407&lt;=1),194,""))))))))))))))))))))),IF(M399="Stufe B",IF(AND(L400="Auswahl treffen",D407&gt;=0,D407&lt;=1000),J399,IF(AND(L400="Vermögend und ambulant",D407&gt;8,D407&lt;=1000),161,IF(AND(L400="Vermögend und ambulant",D407&gt;4,D407&lt;=8),196,IF(AND(L400="Vermögend und ambulant",D407&gt;2,D407&lt;=4),238,IF(AND(L400="Vermögend und ambulant",D407&gt;1,D407&lt;=2),258,IF(AND(L400="Vermögend und ambulant",D407&gt;0,D407&lt;=1),370,IF(AND(L400="Vermögend und stationär",D407&gt;8,D407&lt;=1000),96,IF(AND(L400="Vermögend und stationär",D407&gt;4,D407&lt;=8),113,IF(AND(L400="Vermögend und stationär",D407&gt;2,D407&lt;=4),174,IF(AND(L400="Vermögend und stationär",D407&gt;1,D407&lt;=2),196,IF(AND(L400="Vermögend und stationär",D407&gt;0,D407&lt;=1),249,IF(AND(L400="Mittellos und ambulant",D407&gt;8,D407&lt;=1000),130,IF(AND(L400="Mittellos und ambulant",D407&gt;4,D407&lt;=8),151,IF(AND(L400="Mittellos und ambulant",D407&gt;2,D407&lt;=4),188,IF(AND(L400="Mittellos und ambulant",D407&gt;1,D407&lt;=2),211,IF(AND(L400="Mittellos und ambulant",D407&gt;0,D407&lt;=1),258,IF(AND(L400="Mittellos und stationär",D407&gt;8,D407&lt;=1000),78,IF(AND(L400="Mittellos und stationär",D407&gt;4,D407&lt;=8),107,IF(AND(L400="Mittellos und stationär",D407&gt;2,D407&lt;=4),154,IF(AND(L400="Mittellos und stationär",D407&gt;1,D407&lt;=2),158,IF(AND(L400="Mittellos und stationär",D407&gt;0,D407&lt;=1),241,""))))))))))))))))))))),IF(M399="Stufe C",IF(AND(L400="Auswahl treffen",D407&gt;=0,D407&lt;=1000),J399,IF(AND(L400="Vermögend und ambulant",D407&gt;8,D407&lt;=1000),211,IF(AND(L400="Vermögend und ambulant",D407&gt;4,D407&lt;=8),257,IF(AND(L400="Vermögend und ambulant",D407&gt;2,D407&lt;=4),312,IF(AND(L400="Vermögend und ambulant",D407&gt;1,D407&lt;=2),339,IF(AND(L400="Vermögend und ambulant",D407&gt;0,D407&lt;=1),486,IF(AND(L400="Vermögend und stationär",D407&gt;8,D407&lt;=1000),127,IF(AND(L400="Vermögend und stationär",D407&gt;4,D407&lt;=8),149,IF(AND(L400="Vermögend und stationär",D407&gt;2,D407&lt;=4),229,IF(AND(L400="Vermögend und stationär",D407&gt;1,D407&lt;=2),257,IF(AND(L400="Vermögend und stationär",D407&gt;0,D407&lt;=1),327,IF(AND(L400="Mittellos und ambulant",D407&gt;8,D407&lt;=1000),171,IF(AND(L400="Mittellos und ambulant",D407&gt;4,D407&lt;=8),198,IF(AND(L400="Mittellos und ambulant",D407&gt;2,D407&lt;=4),246,IF(AND(L400="Mittellos und ambulant",D407&gt;1,D407&lt;=2),277,IF(AND(L400="Mittellos und ambulant",D407&gt;0,D407&lt;=1),339,IF(AND(L400="Mittellos und stationär",D407&gt;8,D407&lt;=1000),102,IF(AND(L400="Mittellos und stationär",D407&gt;4,D407&lt;=8),141,IF(AND(L400="Mittellos und stationär",D407&gt;2,D407&lt;=4),202,IF(AND(L400="Mittellos und stationär",D407&gt;1,D407&lt;=2),208,IF(AND(L400="Mittellos und stationär",D407&gt;0,D407&lt;=1),317,""))))))))))))))))))))),"")))*3+(J399*90)</f>
        <v>#NUM!</v>
      </c>
      <c r="M408" s="507" t="str">
        <f>CONCATENATE(K408, K407)</f>
        <v>+Inflat.-P</v>
      </c>
      <c r="N408" s="216"/>
      <c r="O408" s="188"/>
      <c r="P408" s="188"/>
      <c r="Q408" s="217" t="s">
        <v>118</v>
      </c>
      <c r="R408" s="189"/>
      <c r="S408" s="190"/>
      <c r="T408" s="190"/>
      <c r="U408" s="191"/>
      <c r="V408" s="192"/>
      <c r="W408" s="190"/>
      <c r="X408" s="190"/>
      <c r="Y408" s="191"/>
      <c r="Z408" s="192"/>
      <c r="AA408" s="190"/>
      <c r="AB408" s="190"/>
      <c r="AC408" s="191"/>
      <c r="AD408" s="192"/>
      <c r="AE408" s="190" t="s">
        <v>118</v>
      </c>
      <c r="AF408" s="190" t="s">
        <v>117</v>
      </c>
      <c r="AG408" s="191" t="s">
        <v>26</v>
      </c>
      <c r="AH408" s="193"/>
      <c r="AI408" s="190" t="s">
        <v>118</v>
      </c>
      <c r="AJ408" s="190" t="s">
        <v>117</v>
      </c>
      <c r="AK408" s="374" t="s">
        <v>26</v>
      </c>
      <c r="AL408" s="348" t="s">
        <v>151</v>
      </c>
      <c r="AM408" s="354"/>
      <c r="AN408" s="354"/>
      <c r="AO408" s="354"/>
      <c r="AP408" s="354">
        <f>IF(SUM(Q400:Q408)=SUM(AE400:AE408,AI400:AI408), 0, SUM(Q400:Q408)-SUM(AE400:AE408,AI400:AI408))</f>
        <v>0</v>
      </c>
      <c r="AQ408" s="350">
        <f>AM408+AN408+AO408+AP408</f>
        <v>0</v>
      </c>
      <c r="AR408" s="769"/>
      <c r="AS408" s="769"/>
      <c r="AT408" s="769"/>
      <c r="BM408" s="335"/>
    </row>
    <row r="409" spans="1:65" ht="22" customHeight="1">
      <c r="A409" s="181">
        <f t="shared" si="144"/>
        <v>45292</v>
      </c>
      <c r="B409" s="232" t="s">
        <v>74</v>
      </c>
      <c r="C409" s="233" t="s">
        <v>75</v>
      </c>
      <c r="D409" s="234" t="s">
        <v>76</v>
      </c>
      <c r="E409" s="235" t="s">
        <v>11</v>
      </c>
      <c r="F409" s="235" t="s">
        <v>4</v>
      </c>
      <c r="G409" s="235" t="s">
        <v>5</v>
      </c>
      <c r="H409" s="235" t="s">
        <v>6</v>
      </c>
      <c r="I409" s="236" t="s">
        <v>77</v>
      </c>
      <c r="J409" s="306"/>
      <c r="K409" s="506" t="str">
        <f t="shared" si="145"/>
        <v/>
      </c>
      <c r="L409" s="306" t="str">
        <f>IFERROR(VLOOKUP(B410,'Aktuelle Einnahmen'!A2:J104,10,0),"")</f>
        <v/>
      </c>
      <c r="M409" s="510" t="str">
        <f>M399</f>
        <v>Stufe C</v>
      </c>
      <c r="N409" s="237"/>
      <c r="O409" s="238"/>
      <c r="P409" s="238"/>
      <c r="Q409" s="239"/>
      <c r="R409" s="240"/>
      <c r="S409" s="241"/>
      <c r="T409" s="241"/>
      <c r="U409" s="242"/>
      <c r="V409" s="243"/>
      <c r="W409" s="241"/>
      <c r="X409" s="241"/>
      <c r="Y409" s="242"/>
      <c r="Z409" s="243"/>
      <c r="AA409" s="241"/>
      <c r="AB409" s="241"/>
      <c r="AC409" s="242"/>
      <c r="AD409" s="243"/>
      <c r="AE409" s="241"/>
      <c r="AF409" s="241"/>
      <c r="AG409" s="242"/>
      <c r="AH409" s="240"/>
      <c r="AI409" s="241"/>
      <c r="AJ409" s="241"/>
      <c r="AK409" s="377"/>
      <c r="AL409" s="347"/>
      <c r="AM409" s="353"/>
      <c r="AN409" s="353"/>
      <c r="AO409" s="353"/>
      <c r="AP409" s="353"/>
      <c r="AQ409" s="349"/>
      <c r="AR409" s="768"/>
      <c r="AS409" s="768"/>
      <c r="AT409" s="768"/>
      <c r="BM409" s="335"/>
    </row>
    <row r="410" spans="1:65" ht="23" customHeight="1">
      <c r="A410" s="181">
        <f t="shared" si="144"/>
        <v>45292</v>
      </c>
      <c r="B410" s="182">
        <v>41</v>
      </c>
      <c r="C410" s="245">
        <f>IFERROR(VLOOKUP($B410,'Aktuelle Einnahmen'!A2:G104,3,0),"")</f>
        <v>0</v>
      </c>
      <c r="D410" s="246">
        <f>IFERROR(VLOOKUP($B410,'Aktuelle Einnahmen'!A2:G104,2,0),"")</f>
        <v>0</v>
      </c>
      <c r="E410" s="247">
        <f>IFERROR(VLOOKUP($B410,'Aktuelle Einnahmen'!A2:G104,4,0),"")</f>
        <v>0</v>
      </c>
      <c r="F410" s="94">
        <f>IFERROR(VLOOKUP($B410,'Aktuelle Einnahmen'!A2:G104,5,0),"")</f>
        <v>0</v>
      </c>
      <c r="G410" s="94">
        <f>IFERROR(VLOOKUP($B410,'Aktuelle Einnahmen'!A2:G104,6,0),"")</f>
        <v>0</v>
      </c>
      <c r="H410" s="94">
        <f>IFERROR(VLOOKUP($B410,'Aktuelle Einnahmen'!A2:G104,7,0),"")</f>
        <v>0</v>
      </c>
      <c r="I410" s="186" t="e">
        <f>DATE(H410,G410,F410)</f>
        <v>#NUM!</v>
      </c>
      <c r="J410" s="472">
        <f ca="1">J400</f>
        <v>45475</v>
      </c>
      <c r="K410" s="501" t="str">
        <f t="shared" si="145"/>
        <v>+Inflat.-P</v>
      </c>
      <c r="L410" s="1262" t="str">
        <f>IFERROR(VLOOKUP(B410,'Aktuelle Einnahmen'!A12:I114,9,0),"")</f>
        <v>Auswahl treffen</v>
      </c>
      <c r="M410" s="1263"/>
      <c r="N410" s="261"/>
      <c r="O410" s="261"/>
      <c r="P410" s="261"/>
      <c r="Q410" s="261"/>
      <c r="R410" s="189"/>
      <c r="S410" s="190"/>
      <c r="T410" s="190"/>
      <c r="U410" s="191"/>
      <c r="V410" s="192"/>
      <c r="W410" s="190"/>
      <c r="X410" s="190"/>
      <c r="Y410" s="191"/>
      <c r="Z410" s="192"/>
      <c r="AA410" s="190"/>
      <c r="AB410" s="190"/>
      <c r="AC410" s="191"/>
      <c r="AD410" s="192"/>
      <c r="AE410" s="190"/>
      <c r="AF410" s="190"/>
      <c r="AG410" s="191"/>
      <c r="AH410" s="193"/>
      <c r="AI410" s="190"/>
      <c r="AJ410" s="190"/>
      <c r="AK410" s="374"/>
      <c r="AL410" s="348"/>
      <c r="AM410" s="354"/>
      <c r="AN410" s="354"/>
      <c r="AO410" s="354"/>
      <c r="AP410" s="354"/>
      <c r="AQ410" s="350"/>
      <c r="AR410" s="769"/>
      <c r="AS410" s="769"/>
      <c r="AT410" s="769"/>
      <c r="BM410" s="335"/>
    </row>
    <row r="411" spans="1:65" ht="22.25" customHeight="1">
      <c r="A411" s="181">
        <f t="shared" si="144"/>
        <v>45292</v>
      </c>
      <c r="B411" s="484" t="e">
        <f>DAY(I410)</f>
        <v>#NUM!</v>
      </c>
      <c r="C411" s="489" t="s">
        <v>158</v>
      </c>
      <c r="D411" s="520" t="e">
        <f>(I411*4)+J411/3+1</f>
        <v>#NUM!</v>
      </c>
      <c r="E411" s="194" t="e">
        <f>J413+1</f>
        <v>#NUM!</v>
      </c>
      <c r="F411" s="195" t="e">
        <f t="shared" ref="F411:F418" si="149">DAY(E411)</f>
        <v>#NUM!</v>
      </c>
      <c r="G411" s="196" t="e">
        <f t="shared" ref="G411:G418" si="150">MONTH(E411)</f>
        <v>#NUM!</v>
      </c>
      <c r="H411" s="195" t="e">
        <f t="shared" ref="H411:H418" si="151">YEAR(E411)</f>
        <v>#NUM!</v>
      </c>
      <c r="I411" s="197" t="e">
        <f>H411-(H410+2000)</f>
        <v>#NUM!</v>
      </c>
      <c r="J411" s="198" t="e">
        <f>G411-G410</f>
        <v>#NUM!</v>
      </c>
      <c r="K411" s="506" t="str">
        <f>L409</f>
        <v/>
      </c>
      <c r="L411" s="469"/>
      <c r="M411" s="473" t="e">
        <f ca="1">SUM(J410-E412)&amp;" Tage"</f>
        <v>#NUM!</v>
      </c>
      <c r="N411" s="206"/>
      <c r="O411" s="201"/>
      <c r="P411" s="201"/>
      <c r="Q411" s="202"/>
      <c r="R411" s="189"/>
      <c r="S411" s="203"/>
      <c r="T411" s="203"/>
      <c r="U411" s="204"/>
      <c r="V411" s="192"/>
      <c r="W411" s="203"/>
      <c r="X411" s="203"/>
      <c r="Y411" s="204"/>
      <c r="Z411" s="192"/>
      <c r="AA411" s="203"/>
      <c r="AB411" s="203"/>
      <c r="AC411" s="204"/>
      <c r="AD411" s="192"/>
      <c r="AE411" s="203"/>
      <c r="AF411" s="203"/>
      <c r="AG411" s="204"/>
      <c r="AH411" s="193"/>
      <c r="AI411" s="203"/>
      <c r="AJ411" s="203"/>
      <c r="AK411" s="375"/>
      <c r="AL411" s="348"/>
      <c r="AM411" s="354"/>
      <c r="AN411" s="354"/>
      <c r="AO411" s="354"/>
      <c r="AP411" s="354"/>
      <c r="AQ411" s="350"/>
      <c r="AR411" s="769"/>
      <c r="AS411" s="769"/>
      <c r="AT411" s="769"/>
      <c r="BM411" s="335"/>
    </row>
    <row r="412" spans="1:65" ht="22.25" customHeight="1">
      <c r="A412" s="181">
        <f t="shared" si="144"/>
        <v>45292</v>
      </c>
      <c r="B412" s="485"/>
      <c r="C412" s="490"/>
      <c r="D412" s="521"/>
      <c r="E412" s="194" t="e">
        <f>DATE(YEAR(E411),MONTH(E411)+3,DAY(E411)-1)</f>
        <v>#NUM!</v>
      </c>
      <c r="F412" s="195" t="e">
        <f t="shared" si="149"/>
        <v>#NUM!</v>
      </c>
      <c r="G412" s="196" t="e">
        <f t="shared" si="150"/>
        <v>#NUM!</v>
      </c>
      <c r="H412" s="195" t="e">
        <f t="shared" si="151"/>
        <v>#NUM!</v>
      </c>
      <c r="I412" s="244">
        <v>-1</v>
      </c>
      <c r="J412" s="198" t="e">
        <f>F411-F410</f>
        <v>#NUM!</v>
      </c>
      <c r="K412" s="506" t="str">
        <f t="shared" si="145"/>
        <v>+Inflat.-P</v>
      </c>
      <c r="L412" s="511" t="e">
        <f>IF(M409="Stufe A",IF(AND(L410="Auswahl treffen",D411&gt;=0,D411&lt;=1000),J409,IF(AND(L410="Vermögend und ambulant",D411&gt;8,D411&lt;=1000),130,IF(AND(L410="Vermögend und ambulant",D411&gt;4,D411&lt;=8),158,IF(AND(L410="Vermögend und ambulant",D411&gt;2,D411&lt;=4),192,IF(AND(L410="Vermögend und ambulant",D411&gt;1,D411&lt;=2),208,IF(AND(L410="Vermögend und ambulant",D411&gt;0,D411&lt;=1),298,IF(AND(L410="Vermögend und stationär",D411&gt;8,D411&lt;=1000),78,IF(AND(L410="Vermögend und stationär",D411&gt;4,D411&lt;=8),91,IF(AND(L410="Vermögend und stationär",D411&gt;2,D411&lt;=4),140,IF(AND(L410="Vermögend und stationär",D411&gt;1,D411&lt;=2),158,IF(AND(L410="Vermögend und stationär",D411&gt;0,D411&lt;=1),200,IF(AND(L410="Mittellos und ambulant",D411&gt;8,D411&lt;=1000),105,IF(AND(L410="Mittellos und ambulant",D411&gt;4,D411&lt;=8),122,IF(AND(L410="Mittellos und ambulant",D411&gt;2,D411&lt;=4),151,IF(AND(L410="Mittellos und ambulant",D411&gt;1,D411&lt;=2),170,IF(AND(L410="Mittellos und ambulant",D411&gt;0,D411&lt;=1),208,IF(AND(L410="Mittellos und stationär",D411&gt;8,D411&lt;=1000),62,IF(AND(L410="Mittellos und stationär",D411&gt;4,D411&lt;=8),87,IF(AND(L410="Mittellos und stationär",D411&gt;2,D411&lt;=4),124,IF(AND(L410="Mittellos und stationär",D411&gt;1,D411&lt;=2),129,IF(AND(L410="Mittellos und stationär",D411&gt;0,D411&lt;=1),194,""))))))))))))))))))))),IF(M409="Stufe B",IF(AND(L410="Auswahl treffen",D411&gt;=0,D411&lt;=1000),J409,IF(AND(L410="Vermögend und ambulant",D411&gt;8,D411&lt;=1000),161,IF(AND(L410="Vermögend und ambulant",D411&gt;4,D411&lt;=8),196,IF(AND(L410="Vermögend und ambulant",D411&gt;2,D411&lt;=4),238,IF(AND(L410="Vermögend und ambulant",D411&gt;1,D411&lt;=2),258,IF(AND(L410="Vermögend und ambulant",D411&gt;0,D411&lt;=1),370,IF(AND(L410="Vermögend und stationär",D411&gt;8,D411&lt;=1000),96,IF(AND(L410="Vermögend und stationär",D411&gt;4,D411&lt;=8),113,IF(AND(L410="Vermögend und stationär",D411&gt;2,D411&lt;=4),174,IF(AND(L410="Vermögend und stationär",D411&gt;1,D411&lt;=2),196,IF(AND(L410="Vermögend und stationär",D411&gt;0,D411&lt;=1),249,IF(AND(L410="Mittellos und ambulant",D411&gt;8,D411&lt;=1000),130,IF(AND(L410="Mittellos und ambulant",D411&gt;4,D411&lt;=8),151,IF(AND(L410="Mittellos und ambulant",D411&gt;2,D411&lt;=4),188,IF(AND(L410="Mittellos und ambulant",D411&gt;1,D411&lt;=2),211,IF(AND(L410="Mittellos und ambulant",D411&gt;0,D411&lt;=1),258,IF(AND(L410="Mittellos und stationär",D411&gt;8,D411&lt;=1000),78,IF(AND(L410="Mittellos und stationär",D411&gt;4,D411&lt;=8),107,IF(AND(L410="Mittellos und stationär",D411&gt;2,D411&lt;=4),154,IF(AND(L410="Mittellos und stationär",D411&gt;1,D411&lt;=2),158,IF(AND(L410="Mittellos und stationär",D411&gt;0,D411&lt;=1),241,""))))))))))))))))))))),IF(M409="Stufe C",IF(AND(L410="Auswahl treffen",D411&gt;=0,D411&lt;=1000),J409,IF(AND(L410="Vermögend und ambulant",D411&gt;8,D411&lt;=1000),211,IF(AND(L410="Vermögend und ambulant",D411&gt;4,D411&lt;=8),257,IF(AND(L410="Vermögend und ambulant",D411&gt;2,D411&lt;=4),312,IF(AND(L410="Vermögend und ambulant",D411&gt;1,D411&lt;=2),339,IF(AND(L410="Vermögend und ambulant",D411&gt;0,D411&lt;=1),486,IF(AND(L410="Vermögend und stationär",D411&gt;8,D411&lt;=1000),127,IF(AND(L410="Vermögend und stationär",D411&gt;4,D411&lt;=8),149,IF(AND(L410="Vermögend und stationär",D411&gt;2,D411&lt;=4),229,IF(AND(L410="Vermögend und stationär",D411&gt;1,D411&lt;=2),257,IF(AND(L410="Vermögend und stationär",D411&gt;0,D411&lt;=1),327,IF(AND(L410="Mittellos und ambulant",D411&gt;8,D411&lt;=1000),171,IF(AND(L410="Mittellos und ambulant",D411&gt;4,D411&lt;=8),198,IF(AND(L410="Mittellos und ambulant",D411&gt;2,D411&lt;=4),246,IF(AND(L410="Mittellos und ambulant",D411&gt;1,D411&lt;=2),277,IF(AND(L410="Mittellos und ambulant",D411&gt;0,D411&lt;=1),339,IF(AND(L410="Mittellos und stationär",D411&gt;8,D411&lt;=1000),102,IF(AND(L410="Mittellos und stationär",D411&gt;4,D411&lt;=8),141,IF(AND(L410="Mittellos und stationär",D411&gt;2,D411&lt;=4),202,IF(AND(L410="Mittellos und stationär",D411&gt;1,D411&lt;=2),208,IF(AND(L410="Mittellos und stationär",D411&gt;0,D411&lt;=1),317,""))))))))))))))))))))),"")))*3+(J409*90)</f>
        <v>#NUM!</v>
      </c>
      <c r="M412" s="507" t="str">
        <f>CONCATENATE(K412, K411)</f>
        <v>+Inflat.-P</v>
      </c>
      <c r="N412" s="206" t="s">
        <v>118</v>
      </c>
      <c r="O412" s="207"/>
      <c r="P412" s="207"/>
      <c r="Q412" s="208"/>
      <c r="R412" s="187"/>
      <c r="S412" s="209" t="s">
        <v>118</v>
      </c>
      <c r="T412" s="201" t="s">
        <v>117</v>
      </c>
      <c r="U412" s="210" t="s">
        <v>26</v>
      </c>
      <c r="V412" s="192"/>
      <c r="W412" s="203"/>
      <c r="X412" s="203"/>
      <c r="Y412" s="210"/>
      <c r="Z412" s="192"/>
      <c r="AA412" s="203"/>
      <c r="AB412" s="203"/>
      <c r="AC412" s="210"/>
      <c r="AD412" s="192"/>
      <c r="AE412" s="203"/>
      <c r="AF412" s="203"/>
      <c r="AG412" s="210"/>
      <c r="AH412" s="193"/>
      <c r="AI412" s="203"/>
      <c r="AJ412" s="203"/>
      <c r="AK412" s="376"/>
      <c r="AL412" s="348" t="s">
        <v>148</v>
      </c>
      <c r="AM412" s="354">
        <f>IF(SUM(N410:N418)=SUM(S410:S418), 0, SUM(N410:N418)-SUM(S410:S418))</f>
        <v>0</v>
      </c>
      <c r="AN412" s="354"/>
      <c r="AO412" s="354"/>
      <c r="AP412" s="354"/>
      <c r="AQ412" s="350">
        <f>AM412+AN412+AO412+AP412</f>
        <v>0</v>
      </c>
      <c r="AR412" s="769"/>
      <c r="AS412" s="769"/>
      <c r="AT412" s="769"/>
      <c r="BM412" s="335"/>
    </row>
    <row r="413" spans="1:65" ht="22.25" customHeight="1">
      <c r="A413" s="181">
        <f t="shared" si="144"/>
        <v>45292</v>
      </c>
      <c r="B413" s="484" t="e">
        <f>MONTH(I410)</f>
        <v>#NUM!</v>
      </c>
      <c r="C413" s="489" t="s">
        <v>158</v>
      </c>
      <c r="D413" s="522" t="e">
        <f>D411+1</f>
        <v>#NUM!</v>
      </c>
      <c r="E413" s="211" t="e">
        <f>DATE(YEAR(E412),MONTH(E412),DAY(E412)+1)</f>
        <v>#NUM!</v>
      </c>
      <c r="F413" s="212" t="e">
        <f t="shared" si="149"/>
        <v>#NUM!</v>
      </c>
      <c r="G413" s="213" t="e">
        <f t="shared" si="150"/>
        <v>#NUM!</v>
      </c>
      <c r="H413" s="212" t="e">
        <f t="shared" si="151"/>
        <v>#NUM!</v>
      </c>
      <c r="I413" s="214" t="str">
        <f>IF(D410&lt;&gt;0,"-1T","")</f>
        <v/>
      </c>
      <c r="J413" s="215" t="e">
        <f>DATE($B415,I414,$B411)</f>
        <v>#NUM!</v>
      </c>
      <c r="K413" s="501" t="str">
        <f t="shared" si="145"/>
        <v/>
      </c>
      <c r="L413" s="470"/>
      <c r="M413" s="473" t="e">
        <f ca="1">SUM(J410-E414)&amp;" Tage"</f>
        <v>#NUM!</v>
      </c>
      <c r="N413" s="216"/>
      <c r="O413" s="217"/>
      <c r="P413" s="188"/>
      <c r="Q413" s="217"/>
      <c r="R413" s="189"/>
      <c r="S413" s="190"/>
      <c r="T413" s="190"/>
      <c r="U413" s="191"/>
      <c r="V413" s="192"/>
      <c r="W413" s="190"/>
      <c r="X413" s="190"/>
      <c r="Y413" s="191"/>
      <c r="Z413" s="192"/>
      <c r="AA413" s="190"/>
      <c r="AB413" s="190"/>
      <c r="AC413" s="191"/>
      <c r="AD413" s="192"/>
      <c r="AE413" s="190"/>
      <c r="AF413" s="190"/>
      <c r="AG413" s="191"/>
      <c r="AH413" s="193"/>
      <c r="AI413" s="190"/>
      <c r="AJ413" s="190"/>
      <c r="AK413" s="374"/>
      <c r="AL413" s="348"/>
      <c r="AM413" s="354"/>
      <c r="AN413" s="354"/>
      <c r="AO413" s="354"/>
      <c r="AP413" s="354"/>
      <c r="AQ413" s="350"/>
      <c r="AR413" s="769"/>
      <c r="AS413" s="769"/>
      <c r="AT413" s="769"/>
      <c r="BM413" s="335"/>
    </row>
    <row r="414" spans="1:65" ht="22.25" customHeight="1">
      <c r="A414" s="181">
        <f t="shared" si="144"/>
        <v>45292</v>
      </c>
      <c r="B414" s="485"/>
      <c r="C414" s="490"/>
      <c r="D414" s="521"/>
      <c r="E414" s="218" t="e">
        <f>DATE(YEAR(E413),MONTH(E413)+3,DAY(E413)-1)</f>
        <v>#NUM!</v>
      </c>
      <c r="F414" s="212" t="e">
        <f t="shared" si="149"/>
        <v>#NUM!</v>
      </c>
      <c r="G414" s="213" t="e">
        <f t="shared" si="150"/>
        <v>#NUM!</v>
      </c>
      <c r="H414" s="212" t="e">
        <f t="shared" si="151"/>
        <v>#NUM!</v>
      </c>
      <c r="I414" s="219">
        <f>MAX(I415:I418)</f>
        <v>9</v>
      </c>
      <c r="J414" s="220" t="e">
        <f>DATE(YEAR(J413)+1,MONTH(J413),DAY(J413))</f>
        <v>#NUM!</v>
      </c>
      <c r="K414" s="506" t="str">
        <f t="shared" si="145"/>
        <v>+Inflat.-P</v>
      </c>
      <c r="L414" s="508" t="e">
        <f>IF(M409="Stufe A",IF(AND(L410="Auswahl treffen",D413&gt;=0,D413&lt;=1000),J409,IF(AND(L410="Vermögend und ambulant",D413&gt;8,D413&lt;=1000),130,IF(AND(L410="Vermögend und ambulant",D413&gt;4,D413&lt;=8),158,IF(AND(L410="Vermögend und ambulant",D413&gt;2,D413&lt;=4),192,IF(AND(L410="Vermögend und ambulant",D413&gt;1,D413&lt;=2),208,IF(AND(L410="Vermögend und ambulant",D413&gt;0,D413&lt;=1),298,IF(AND(L410="Vermögend und stationär",D413&gt;8,D413&lt;=1000),78,IF(AND(L410="Vermögend und stationär",D413&gt;4,D413&lt;=8),91,IF(AND(L410="Vermögend und stationär",D413&gt;2,D413&lt;=4),140,IF(AND(L410="Vermögend und stationär",D413&gt;1,D413&lt;=2),158,IF(AND(L410="Vermögend und stationär",D413&gt;0,D413&lt;=1),200,IF(AND(L410="Mittellos und ambulant",D413&gt;8,D413&lt;=1000),105,IF(AND(L410="Mittellos und ambulant",D413&gt;4,D413&lt;=8),122,IF(AND(L410="Mittellos und ambulant",D413&gt;2,D413&lt;=4),151,IF(AND(L410="Mittellos und ambulant",D413&gt;1,D413&lt;=2),170,IF(AND(L410="Mittellos und ambulant",D413&gt;0,D413&lt;=1),208,IF(AND(L410="Mittellos und stationär",D413&gt;8,D413&lt;=1000),62,IF(AND(L410="Mittellos und stationär",D413&gt;4,D413&lt;=8),87,IF(AND(L410="Mittellos und stationär",D413&gt;2,D413&lt;=4),124,IF(AND(L410="Mittellos und stationär",D413&gt;1,D413&lt;=2),129,IF(AND(L410="Mittellos und stationär",D413&gt;0,D413&lt;=1),194,""))))))))))))))))))))),IF(M409="Stufe B",IF(AND(L410="Auswahl treffen",D413&gt;=0,D413&lt;=1000),J409,IF(AND(L410="Vermögend und ambulant",D413&gt;8,D413&lt;=1000),161,IF(AND(L410="Vermögend und ambulant",D413&gt;4,D413&lt;=8),196,IF(AND(L410="Vermögend und ambulant",D413&gt;2,D413&lt;=4),238,IF(AND(L410="Vermögend und ambulant",D413&gt;1,D413&lt;=2),258,IF(AND(L410="Vermögend und ambulant",D413&gt;0,D413&lt;=1),370,IF(AND(L410="Vermögend und stationär",D413&gt;8,D413&lt;=1000),96,IF(AND(L410="Vermögend und stationär",D413&gt;4,D413&lt;=8),113,IF(AND(L410="Vermögend und stationär",D413&gt;2,D413&lt;=4),174,IF(AND(L410="Vermögend und stationär",D413&gt;1,D413&lt;=2),196,IF(AND(L410="Vermögend und stationär",D413&gt;0,D413&lt;=1),249,IF(AND(L410="Mittellos und ambulant",D413&gt;8,D413&lt;=1000),130,IF(AND(L410="Mittellos und ambulant",D413&gt;4,D413&lt;=8),151,IF(AND(L410="Mittellos und ambulant",D413&gt;2,D413&lt;=4),188,IF(AND(L410="Mittellos und ambulant",D413&gt;1,D413&lt;=2),211,IF(AND(L410="Mittellos und ambulant",D413&gt;0,D413&lt;=1),258,IF(AND(L410="Mittellos und stationär",D413&gt;8,D413&lt;=1000),78,IF(AND(L410="Mittellos und stationär",D413&gt;4,D413&lt;=8),107,IF(AND(L410="Mittellos und stationär",D413&gt;2,D413&lt;=4),154,IF(AND(L410="Mittellos und stationär",D413&gt;1,D413&lt;=2),158,IF(AND(L410="Mittellos und stationär",D413&gt;0,D413&lt;=1),241,""))))))))))))))))))))),IF(M409="Stufe C",IF(AND(L410="Auswahl treffen",D413&gt;=0,D413&lt;=1000),J409,IF(AND(L410="Vermögend und ambulant",D413&gt;8,D413&lt;=1000),211,IF(AND(L410="Vermögend und ambulant",D413&gt;4,D413&lt;=8),257,IF(AND(L410="Vermögend und ambulant",D413&gt;2,D413&lt;=4),312,IF(AND(L410="Vermögend und ambulant",D413&gt;1,D413&lt;=2),339,IF(AND(L410="Vermögend und ambulant",D413&gt;0,D413&lt;=1),486,IF(AND(L410="Vermögend und stationär",D413&gt;8,D413&lt;=1000),127,IF(AND(L410="Vermögend und stationär",D413&gt;4,D413&lt;=8),149,IF(AND(L410="Vermögend und stationär",D413&gt;2,D413&lt;=4),229,IF(AND(L410="Vermögend und stationär",D413&gt;1,D413&lt;=2),257,IF(AND(L410="Vermögend und stationär",D413&gt;0,D413&lt;=1),327,IF(AND(L410="Mittellos und ambulant",D413&gt;8,D413&lt;=1000),171,IF(AND(L410="Mittellos und ambulant",D413&gt;4,D413&lt;=8),198,IF(AND(L410="Mittellos und ambulant",D413&gt;2,D413&lt;=4),246,IF(AND(L410="Mittellos und ambulant",D413&gt;1,D413&lt;=2),277,IF(AND(L410="Mittellos und ambulant",D413&gt;0,D413&lt;=1),339,IF(AND(L410="Mittellos und stationär",D413&gt;8,D413&lt;=1000),102,IF(AND(L410="Mittellos und stationär",D413&gt;4,D413&lt;=8),141,IF(AND(L410="Mittellos und stationär",D413&gt;2,D413&lt;=4),202,IF(AND(L410="Mittellos und stationär",D413&gt;1,D413&lt;=2),208,IF(AND(L410="Mittellos und stationär",D413&gt;0,D413&lt;=1),317,""))))))))))))))))))))),"")))*3+(J409*90)</f>
        <v>#NUM!</v>
      </c>
      <c r="M414" s="507" t="str">
        <f>CONCATENATE(K414, K413)</f>
        <v>+Inflat.-P</v>
      </c>
      <c r="N414" s="216"/>
      <c r="O414" s="188" t="s">
        <v>118</v>
      </c>
      <c r="P414" s="188"/>
      <c r="Q414" s="221"/>
      <c r="R414" s="199"/>
      <c r="S414" s="190"/>
      <c r="T414" s="190"/>
      <c r="U414" s="191"/>
      <c r="V414" s="192"/>
      <c r="W414" s="222" t="s">
        <v>118</v>
      </c>
      <c r="X414" s="222" t="s">
        <v>117</v>
      </c>
      <c r="Y414" s="191" t="s">
        <v>26</v>
      </c>
      <c r="Z414" s="192"/>
      <c r="AA414" s="190"/>
      <c r="AB414" s="190"/>
      <c r="AC414" s="191"/>
      <c r="AD414" s="192"/>
      <c r="AE414" s="190"/>
      <c r="AF414" s="190"/>
      <c r="AG414" s="191"/>
      <c r="AH414" s="193"/>
      <c r="AI414" s="190"/>
      <c r="AJ414" s="190"/>
      <c r="AK414" s="374"/>
      <c r="AL414" s="348" t="s">
        <v>149</v>
      </c>
      <c r="AM414" s="354"/>
      <c r="AN414" s="354">
        <f>IF(SUM(O410:O418)=SUM(W410:W418), 0, SUM(O410:O418)-SUM(W410:W418))</f>
        <v>0</v>
      </c>
      <c r="AO414" s="354"/>
      <c r="AP414" s="354"/>
      <c r="AQ414" s="350">
        <f>AM414+AN414+AO414+AP414</f>
        <v>0</v>
      </c>
      <c r="AR414" s="769"/>
      <c r="AS414" s="769"/>
      <c r="AT414" s="769"/>
      <c r="BM414" s="335"/>
    </row>
    <row r="415" spans="1:65" ht="22.25" customHeight="1">
      <c r="A415" s="181">
        <f t="shared" si="144"/>
        <v>45292</v>
      </c>
      <c r="B415" s="484">
        <f>YEAR($A416)-1</f>
        <v>2023</v>
      </c>
      <c r="C415" s="489" t="s">
        <v>158</v>
      </c>
      <c r="D415" s="520" t="e">
        <f>D413+1</f>
        <v>#NUM!</v>
      </c>
      <c r="E415" s="194" t="e">
        <f>DATE(YEAR(E414),MONTH(E414),DAY(E414)+1)</f>
        <v>#NUM!</v>
      </c>
      <c r="F415" s="195" t="e">
        <f t="shared" si="149"/>
        <v>#NUM!</v>
      </c>
      <c r="G415" s="196" t="e">
        <f t="shared" si="150"/>
        <v>#NUM!</v>
      </c>
      <c r="H415" s="195" t="e">
        <f t="shared" si="151"/>
        <v>#NUM!</v>
      </c>
      <c r="I415" s="197">
        <f>IF(J417&lt;13,J417,"")</f>
        <v>9</v>
      </c>
      <c r="J415" s="224">
        <f>G410</f>
        <v>0</v>
      </c>
      <c r="K415" s="501" t="str">
        <f t="shared" si="145"/>
        <v/>
      </c>
      <c r="L415" s="471"/>
      <c r="M415" s="473" t="e">
        <f ca="1">SUM(J410-E416)&amp;" Tage"</f>
        <v>#NUM!</v>
      </c>
      <c r="N415" s="200"/>
      <c r="O415" s="201"/>
      <c r="P415" s="201"/>
      <c r="Q415" s="202"/>
      <c r="R415" s="189"/>
      <c r="S415" s="203"/>
      <c r="T415" s="203"/>
      <c r="U415" s="204"/>
      <c r="V415" s="192"/>
      <c r="W415" s="203"/>
      <c r="X415" s="203"/>
      <c r="Y415" s="204"/>
      <c r="Z415" s="192"/>
      <c r="AA415" s="203"/>
      <c r="AB415" s="203"/>
      <c r="AC415" s="204"/>
      <c r="AD415" s="192"/>
      <c r="AE415" s="203"/>
      <c r="AF415" s="203"/>
      <c r="AG415" s="204"/>
      <c r="AH415" s="193"/>
      <c r="AI415" s="203"/>
      <c r="AJ415" s="203"/>
      <c r="AK415" s="375"/>
      <c r="AL415" s="348"/>
      <c r="AM415" s="354"/>
      <c r="AN415" s="354"/>
      <c r="AO415" s="354"/>
      <c r="AP415" s="354"/>
      <c r="AQ415" s="350"/>
      <c r="AR415" s="769"/>
      <c r="AS415" s="769"/>
      <c r="AT415" s="769"/>
      <c r="BM415" s="335"/>
    </row>
    <row r="416" spans="1:65" ht="22.25" customHeight="1">
      <c r="A416" s="181">
        <f t="shared" si="144"/>
        <v>45292</v>
      </c>
      <c r="B416" s="485"/>
      <c r="C416" s="490"/>
      <c r="D416" s="521"/>
      <c r="E416" s="194" t="e">
        <f>DATE(YEAR(E415),MONTH(E415)+3,DAY(E415)-1)</f>
        <v>#NUM!</v>
      </c>
      <c r="F416" s="195" t="e">
        <f t="shared" si="149"/>
        <v>#NUM!</v>
      </c>
      <c r="G416" s="196" t="e">
        <f t="shared" si="150"/>
        <v>#NUM!</v>
      </c>
      <c r="H416" s="195" t="e">
        <f t="shared" si="151"/>
        <v>#NUM!</v>
      </c>
      <c r="I416" s="244">
        <f>IF(J418&lt;13,J418,"")</f>
        <v>6</v>
      </c>
      <c r="J416" s="224">
        <f>J415+3</f>
        <v>3</v>
      </c>
      <c r="K416" s="506" t="str">
        <f t="shared" si="145"/>
        <v>+Inflat.-P</v>
      </c>
      <c r="L416" s="511" t="e">
        <f>IF(M409="Stufe A",IF(AND(L410="Auswahl treffen",D415&gt;=0,D415&lt;=1000),J409,IF(AND(L410="Vermögend und ambulant",D415&gt;8,D415&lt;=1000),130,IF(AND(L410="Vermögend und ambulant",D415&gt;4,D415&lt;=8),158,IF(AND(L410="Vermögend und ambulant",D415&gt;2,D415&lt;=4),192,IF(AND(L410="Vermögend und ambulant",D415&gt;1,D415&lt;=2),208,IF(AND(L410="Vermögend und ambulant",D415&gt;0,D415&lt;=1),298,IF(AND(L410="Vermögend und stationär",D415&gt;8,D415&lt;=1000),78,IF(AND(L410="Vermögend und stationär",D415&gt;4,D415&lt;=8),91,IF(AND(L410="Vermögend und stationär",D415&gt;2,D415&lt;=4),140,IF(AND(L410="Vermögend und stationär",D415&gt;1,D415&lt;=2),158,IF(AND(L410="Vermögend und stationär",D415&gt;0,D415&lt;=1),200,IF(AND(L410="Mittellos und ambulant",D415&gt;8,D415&lt;=1000),105,IF(AND(L410="Mittellos und ambulant",D415&gt;4,D415&lt;=8),122,IF(AND(L410="Mittellos und ambulant",D415&gt;2,D415&lt;=4),151,IF(AND(L410="Mittellos und ambulant",D415&gt;1,D415&lt;=2),170,IF(AND(L410="Mittellos und ambulant",D415&gt;0,D415&lt;=1),208,IF(AND(L410="Mittellos und stationär",D415&gt;8,D415&lt;=1000),62,IF(AND(L410="Mittellos und stationär",D415&gt;4,D415&lt;=8),87,IF(AND(L410="Mittellos und stationär",D415&gt;2,D415&lt;=4),124,IF(AND(L410="Mittellos und stationär",D415&gt;1,D415&lt;=2),129,IF(AND(L410="Mittellos und stationär",D415&gt;0,D415&lt;=1),194,""))))))))))))))))))))),IF(M409="Stufe B",IF(AND(L410="Auswahl treffen",D415&gt;=0,D415&lt;=1000),J409,IF(AND(L410="Vermögend und ambulant",D415&gt;8,D415&lt;=1000),161,IF(AND(L410="Vermögend und ambulant",D415&gt;4,D415&lt;=8),196,IF(AND(L410="Vermögend und ambulant",D415&gt;2,D415&lt;=4),238,IF(AND(L410="Vermögend und ambulant",D415&gt;1,D415&lt;=2),258,IF(AND(L410="Vermögend und ambulant",D415&gt;0,D415&lt;=1),370,IF(AND(L410="Vermögend und stationär",D415&gt;8,D415&lt;=1000),96,IF(AND(L410="Vermögend und stationär",D415&gt;4,D415&lt;=8),113,IF(AND(L410="Vermögend und stationär",D415&gt;2,D415&lt;=4),174,IF(AND(L410="Vermögend und stationär",D415&gt;1,D415&lt;=2),196,IF(AND(L410="Vermögend und stationär",D415&gt;0,D415&lt;=1),249,IF(AND(L410="Mittellos und ambulant",D415&gt;8,D415&lt;=1000),130,IF(AND(L410="Mittellos und ambulant",D415&gt;4,D415&lt;=8),151,IF(AND(L410="Mittellos und ambulant",D415&gt;2,D415&lt;=4),188,IF(AND(L410="Mittellos und ambulant",D415&gt;1,D415&lt;=2),211,IF(AND(L410="Mittellos und ambulant",D415&gt;0,D415&lt;=1),258,IF(AND(L410="Mittellos und stationär",D415&gt;8,D415&lt;=1000),78,IF(AND(L410="Mittellos und stationär",D415&gt;4,D415&lt;=8),107,IF(AND(L410="Mittellos und stationär",D415&gt;2,D415&lt;=4),154,IF(AND(L410="Mittellos und stationär",D415&gt;1,D415&lt;=2),158,IF(AND(L410="Mittellos und stationär",D415&gt;0,D415&lt;=1),241,""))))))))))))))))))))),IF(M409="Stufe C",IF(AND(L410="Auswahl treffen",D415&gt;=0,D415&lt;=1000),J409,IF(AND(L410="Vermögend und ambulant",D415&gt;8,D415&lt;=1000),211,IF(AND(L410="Vermögend und ambulant",D415&gt;4,D415&lt;=8),257,IF(AND(L410="Vermögend und ambulant",D415&gt;2,D415&lt;=4),312,IF(AND(L410="Vermögend und ambulant",D415&gt;1,D415&lt;=2),339,IF(AND(L410="Vermögend und ambulant",D415&gt;0,D415&lt;=1),486,IF(AND(L410="Vermögend und stationär",D415&gt;8,D415&lt;=1000),127,IF(AND(L410="Vermögend und stationär",D415&gt;4,D415&lt;=8),149,IF(AND(L410="Vermögend und stationär",D415&gt;2,D415&lt;=4),229,IF(AND(L410="Vermögend und stationär",D415&gt;1,D415&lt;=2),257,IF(AND(L410="Vermögend und stationär",D415&gt;0,D415&lt;=1),327,IF(AND(L410="Mittellos und ambulant",D415&gt;8,D415&lt;=1000),171,IF(AND(L410="Mittellos und ambulant",D415&gt;4,D415&lt;=8),198,IF(AND(L410="Mittellos und ambulant",D415&gt;2,D415&lt;=4),246,IF(AND(L410="Mittellos und ambulant",D415&gt;1,D415&lt;=2),277,IF(AND(L410="Mittellos und ambulant",D415&gt;0,D415&lt;=1),339,IF(AND(L410="Mittellos und stationär",D415&gt;8,D415&lt;=1000),102,IF(AND(L410="Mittellos und stationär",D415&gt;4,D415&lt;=8),141,IF(AND(L410="Mittellos und stationär",D415&gt;2,D415&lt;=4),202,IF(AND(L410="Mittellos und stationär",D415&gt;1,D415&lt;=2),208,IF(AND(L410="Mittellos und stationär",D415&gt;0,D415&lt;=1),317,""))))))))))))))))))))),"")))*3+(J409*90)</f>
        <v>#NUM!</v>
      </c>
      <c r="M416" s="507" t="str">
        <f>CONCATENATE(K416, K415)</f>
        <v>+Inflat.-P</v>
      </c>
      <c r="N416" s="206"/>
      <c r="O416" s="207"/>
      <c r="P416" s="206" t="s">
        <v>118</v>
      </c>
      <c r="Q416" s="226"/>
      <c r="R416" s="189"/>
      <c r="S416" s="203"/>
      <c r="T416" s="203"/>
      <c r="U416" s="204"/>
      <c r="V416" s="192"/>
      <c r="W416" s="203"/>
      <c r="X416" s="203"/>
      <c r="Y416" s="204"/>
      <c r="Z416" s="192"/>
      <c r="AA416" s="209" t="s">
        <v>118</v>
      </c>
      <c r="AB416" s="209" t="s">
        <v>117</v>
      </c>
      <c r="AC416" s="204" t="s">
        <v>26</v>
      </c>
      <c r="AD416" s="192"/>
      <c r="AE416" s="203"/>
      <c r="AF416" s="203"/>
      <c r="AG416" s="204"/>
      <c r="AH416" s="193"/>
      <c r="AI416" s="203"/>
      <c r="AJ416" s="203"/>
      <c r="AK416" s="375"/>
      <c r="AL416" s="348" t="s">
        <v>150</v>
      </c>
      <c r="AM416" s="354"/>
      <c r="AN416" s="354"/>
      <c r="AO416" s="354">
        <f>IF(SUM(P410:P418)=SUM(AA410:AA418), 0, SUM(P410:P418)-SUM(AA410:AA418))</f>
        <v>0</v>
      </c>
      <c r="AP416" s="354"/>
      <c r="AQ416" s="350">
        <f>AM416+AN416+AO416+AP416</f>
        <v>0</v>
      </c>
      <c r="AR416" s="769"/>
      <c r="AS416" s="769"/>
      <c r="AT416" s="769"/>
      <c r="BM416" s="335"/>
    </row>
    <row r="417" spans="1:65" ht="22.25" customHeight="1">
      <c r="A417" s="181">
        <f t="shared" si="144"/>
        <v>45292</v>
      </c>
      <c r="B417" s="486"/>
      <c r="C417" s="489" t="s">
        <v>158</v>
      </c>
      <c r="D417" s="522" t="e">
        <f>D415+1</f>
        <v>#NUM!</v>
      </c>
      <c r="E417" s="211" t="e">
        <f>DATE(YEAR(E416),MONTH(E416),DAY(E416)+1)</f>
        <v>#NUM!</v>
      </c>
      <c r="F417" s="227" t="e">
        <f t="shared" si="149"/>
        <v>#NUM!</v>
      </c>
      <c r="G417" s="228" t="e">
        <f t="shared" si="150"/>
        <v>#NUM!</v>
      </c>
      <c r="H417" s="227" t="e">
        <f t="shared" si="151"/>
        <v>#NUM!</v>
      </c>
      <c r="I417" s="231">
        <f>IF(J416&lt;13,J416,"")</f>
        <v>3</v>
      </c>
      <c r="J417" s="230">
        <f>J418+3</f>
        <v>9</v>
      </c>
      <c r="K417" s="501" t="str">
        <f t="shared" si="145"/>
        <v/>
      </c>
      <c r="L417" s="471"/>
      <c r="M417" s="473" t="e">
        <f ca="1">SUM(J410-E418)&amp;" Tage"</f>
        <v>#NUM!</v>
      </c>
      <c r="N417" s="216"/>
      <c r="O417" s="188"/>
      <c r="P417" s="188"/>
      <c r="Q417" s="217"/>
      <c r="R417" s="189"/>
      <c r="S417" s="190"/>
      <c r="T417" s="190"/>
      <c r="U417" s="191"/>
      <c r="V417" s="192"/>
      <c r="W417" s="190"/>
      <c r="X417" s="190"/>
      <c r="Y417" s="191"/>
      <c r="Z417" s="192"/>
      <c r="AA417" s="190"/>
      <c r="AB417" s="190"/>
      <c r="AC417" s="191"/>
      <c r="AD417" s="192"/>
      <c r="AE417" s="190"/>
      <c r="AF417" s="190"/>
      <c r="AG417" s="191"/>
      <c r="AH417" s="193"/>
      <c r="AI417" s="190"/>
      <c r="AJ417" s="190"/>
      <c r="AK417" s="374"/>
      <c r="AL417" s="348"/>
      <c r="AM417" s="354"/>
      <c r="AN417" s="354"/>
      <c r="AO417" s="354"/>
      <c r="AP417" s="354"/>
      <c r="AQ417" s="350"/>
      <c r="AR417" s="769"/>
      <c r="AS417" s="769"/>
      <c r="AT417" s="769"/>
      <c r="BM417" s="335"/>
    </row>
    <row r="418" spans="1:65" ht="22.25" customHeight="1">
      <c r="A418" s="181">
        <f t="shared" si="144"/>
        <v>45292</v>
      </c>
      <c r="B418" s="485"/>
      <c r="C418" s="490"/>
      <c r="D418" s="521"/>
      <c r="E418" s="218" t="e">
        <f>DATE(YEAR(E417),MONTH(E417)+3,DAY(E417)-1)</f>
        <v>#NUM!</v>
      </c>
      <c r="F418" s="227" t="e">
        <f t="shared" si="149"/>
        <v>#NUM!</v>
      </c>
      <c r="G418" s="228" t="e">
        <f t="shared" si="150"/>
        <v>#NUM!</v>
      </c>
      <c r="H418" s="227" t="e">
        <f t="shared" si="151"/>
        <v>#NUM!</v>
      </c>
      <c r="I418" s="231">
        <f>IF(J415&lt;13,J415,"")</f>
        <v>0</v>
      </c>
      <c r="J418" s="230">
        <f>J416+3</f>
        <v>6</v>
      </c>
      <c r="K418" s="501" t="str">
        <f t="shared" si="145"/>
        <v>+Inflat.-P</v>
      </c>
      <c r="L418" s="508" t="e">
        <f>IF(M409="Stufe A",IF(AND(L410="Auswahl treffen",D417&gt;=0,D417&lt;=1000),J409,IF(AND(L410="Vermögend und ambulant",D417&gt;8,D417&lt;=1000),130,IF(AND(L410="Vermögend und ambulant",D417&gt;4,D417&lt;=8),158,IF(AND(L410="Vermögend und ambulant",D417&gt;2,D417&lt;=4),192,IF(AND(L410="Vermögend und ambulant",D417&gt;1,D417&lt;=2),208,IF(AND(L410="Vermögend und ambulant",D417&gt;0,D417&lt;=1),298,IF(AND(L410="Vermögend und stationär",D417&gt;8,D417&lt;=1000),78,IF(AND(L410="Vermögend und stationär",D417&gt;4,D417&lt;=8),91,IF(AND(L410="Vermögend und stationär",D417&gt;2,D417&lt;=4),140,IF(AND(L410="Vermögend und stationär",D417&gt;1,D417&lt;=2),158,IF(AND(L410="Vermögend und stationär",D417&gt;0,D417&lt;=1),200,IF(AND(L410="Mittellos und ambulant",D417&gt;8,D417&lt;=1000),105,IF(AND(L410="Mittellos und ambulant",D417&gt;4,D417&lt;=8),122,IF(AND(L410="Mittellos und ambulant",D417&gt;2,D417&lt;=4),151,IF(AND(L410="Mittellos und ambulant",D417&gt;1,D417&lt;=2),170,IF(AND(L410="Mittellos und ambulant",D417&gt;0,D417&lt;=1),208,IF(AND(L410="Mittellos und stationär",D417&gt;8,D417&lt;=1000),62,IF(AND(L410="Mittellos und stationär",D417&gt;4,D417&lt;=8),87,IF(AND(L410="Mittellos und stationär",D417&gt;2,D417&lt;=4),124,IF(AND(L410="Mittellos und stationär",D417&gt;1,D417&lt;=2),129,IF(AND(L410="Mittellos und stationär",D417&gt;0,D417&lt;=1),194,""))))))))))))))))))))),IF(M409="Stufe B",IF(AND(L410="Auswahl treffen",D417&gt;=0,D417&lt;=1000),J409,IF(AND(L410="Vermögend und ambulant",D417&gt;8,D417&lt;=1000),161,IF(AND(L410="Vermögend und ambulant",D417&gt;4,D417&lt;=8),196,IF(AND(L410="Vermögend und ambulant",D417&gt;2,D417&lt;=4),238,IF(AND(L410="Vermögend und ambulant",D417&gt;1,D417&lt;=2),258,IF(AND(L410="Vermögend und ambulant",D417&gt;0,D417&lt;=1),370,IF(AND(L410="Vermögend und stationär",D417&gt;8,D417&lt;=1000),96,IF(AND(L410="Vermögend und stationär",D417&gt;4,D417&lt;=8),113,IF(AND(L410="Vermögend und stationär",D417&gt;2,D417&lt;=4),174,IF(AND(L410="Vermögend und stationär",D417&gt;1,D417&lt;=2),196,IF(AND(L410="Vermögend und stationär",D417&gt;0,D417&lt;=1),249,IF(AND(L410="Mittellos und ambulant",D417&gt;8,D417&lt;=1000),130,IF(AND(L410="Mittellos und ambulant",D417&gt;4,D417&lt;=8),151,IF(AND(L410="Mittellos und ambulant",D417&gt;2,D417&lt;=4),188,IF(AND(L410="Mittellos und ambulant",D417&gt;1,D417&lt;=2),211,IF(AND(L410="Mittellos und ambulant",D417&gt;0,D417&lt;=1),258,IF(AND(L410="Mittellos und stationär",D417&gt;8,D417&lt;=1000),78,IF(AND(L410="Mittellos und stationär",D417&gt;4,D417&lt;=8),107,IF(AND(L410="Mittellos und stationär",D417&gt;2,D417&lt;=4),154,IF(AND(L410="Mittellos und stationär",D417&gt;1,D417&lt;=2),158,IF(AND(L410="Mittellos und stationär",D417&gt;0,D417&lt;=1),241,""))))))))))))))))))))),IF(M409="Stufe C",IF(AND(L410="Auswahl treffen",D417&gt;=0,D417&lt;=1000),J409,IF(AND(L410="Vermögend und ambulant",D417&gt;8,D417&lt;=1000),211,IF(AND(L410="Vermögend und ambulant",D417&gt;4,D417&lt;=8),257,IF(AND(L410="Vermögend und ambulant",D417&gt;2,D417&lt;=4),312,IF(AND(L410="Vermögend und ambulant",D417&gt;1,D417&lt;=2),339,IF(AND(L410="Vermögend und ambulant",D417&gt;0,D417&lt;=1),486,IF(AND(L410="Vermögend und stationär",D417&gt;8,D417&lt;=1000),127,IF(AND(L410="Vermögend und stationär",D417&gt;4,D417&lt;=8),149,IF(AND(L410="Vermögend und stationär",D417&gt;2,D417&lt;=4),229,IF(AND(L410="Vermögend und stationär",D417&gt;1,D417&lt;=2),257,IF(AND(L410="Vermögend und stationär",D417&gt;0,D417&lt;=1),327,IF(AND(L410="Mittellos und ambulant",D417&gt;8,D417&lt;=1000),171,IF(AND(L410="Mittellos und ambulant",D417&gt;4,D417&lt;=8),198,IF(AND(L410="Mittellos und ambulant",D417&gt;2,D417&lt;=4),246,IF(AND(L410="Mittellos und ambulant",D417&gt;1,D417&lt;=2),277,IF(AND(L410="Mittellos und ambulant",D417&gt;0,D417&lt;=1),339,IF(AND(L410="Mittellos und stationär",D417&gt;8,D417&lt;=1000),102,IF(AND(L410="Mittellos und stationär",D417&gt;4,D417&lt;=8),141,IF(AND(L410="Mittellos und stationär",D417&gt;2,D417&lt;=4),202,IF(AND(L410="Mittellos und stationär",D417&gt;1,D417&lt;=2),208,IF(AND(L410="Mittellos und stationär",D417&gt;0,D417&lt;=1),317,""))))))))))))))))))))),"")))*3+(J409*90)</f>
        <v>#NUM!</v>
      </c>
      <c r="M418" s="513" t="str">
        <f>IF(OR(B415=2023, B415=2024), "+22,50 €"&amp;L409, "")</f>
        <v>+22,50 €</v>
      </c>
      <c r="N418" s="216"/>
      <c r="O418" s="188"/>
      <c r="P418" s="188"/>
      <c r="Q418" s="217" t="s">
        <v>118</v>
      </c>
      <c r="R418" s="189"/>
      <c r="S418" s="190"/>
      <c r="T418" s="190"/>
      <c r="U418" s="191"/>
      <c r="V418" s="192"/>
      <c r="W418" s="190"/>
      <c r="X418" s="190"/>
      <c r="Y418" s="191"/>
      <c r="Z418" s="192"/>
      <c r="AA418" s="190"/>
      <c r="AB418" s="190"/>
      <c r="AC418" s="191"/>
      <c r="AD418" s="192"/>
      <c r="AE418" s="190" t="s">
        <v>118</v>
      </c>
      <c r="AF418" s="190" t="s">
        <v>117</v>
      </c>
      <c r="AG418" s="191" t="s">
        <v>26</v>
      </c>
      <c r="AH418" s="193"/>
      <c r="AI418" s="190" t="s">
        <v>118</v>
      </c>
      <c r="AJ418" s="190" t="s">
        <v>117</v>
      </c>
      <c r="AK418" s="374" t="s">
        <v>26</v>
      </c>
      <c r="AL418" s="348" t="s">
        <v>151</v>
      </c>
      <c r="AM418" s="354"/>
      <c r="AN418" s="354"/>
      <c r="AO418" s="354"/>
      <c r="AP418" s="354">
        <f>IF(SUM(Q410:Q418)=SUM(AE410:AE418,AI410:AI418), 0, SUM(Q410:Q418)-SUM(AE410:AE418,AI410:AI418))</f>
        <v>0</v>
      </c>
      <c r="AQ418" s="350">
        <f>AM418+AN418+AO418+AP418</f>
        <v>0</v>
      </c>
      <c r="AR418" s="769"/>
      <c r="AS418" s="769"/>
      <c r="AT418" s="769"/>
      <c r="BM418" s="335"/>
    </row>
    <row r="419" spans="1:65" ht="22" customHeight="1">
      <c r="A419" s="181">
        <f t="shared" si="144"/>
        <v>45292</v>
      </c>
      <c r="B419" s="232" t="s">
        <v>74</v>
      </c>
      <c r="C419" s="233" t="s">
        <v>75</v>
      </c>
      <c r="D419" s="234" t="s">
        <v>76</v>
      </c>
      <c r="E419" s="235" t="s">
        <v>11</v>
      </c>
      <c r="F419" s="235" t="s">
        <v>4</v>
      </c>
      <c r="G419" s="235" t="s">
        <v>5</v>
      </c>
      <c r="H419" s="235" t="s">
        <v>6</v>
      </c>
      <c r="I419" s="236" t="s">
        <v>77</v>
      </c>
      <c r="J419" s="306"/>
      <c r="K419" s="506" t="str">
        <f t="shared" si="145"/>
        <v/>
      </c>
      <c r="L419" s="306" t="str">
        <f>IFERROR(VLOOKUP(B420,'Aktuelle Einnahmen'!A2:J104,10,0),"")</f>
        <v/>
      </c>
      <c r="M419" s="510" t="str">
        <f>M409</f>
        <v>Stufe C</v>
      </c>
      <c r="N419" s="237"/>
      <c r="O419" s="238"/>
      <c r="P419" s="238"/>
      <c r="Q419" s="239"/>
      <c r="R419" s="240"/>
      <c r="S419" s="241"/>
      <c r="T419" s="241"/>
      <c r="U419" s="242"/>
      <c r="V419" s="243"/>
      <c r="W419" s="241"/>
      <c r="X419" s="241"/>
      <c r="Y419" s="242"/>
      <c r="Z419" s="243"/>
      <c r="AA419" s="241"/>
      <c r="AB419" s="241"/>
      <c r="AC419" s="242"/>
      <c r="AD419" s="243"/>
      <c r="AE419" s="241"/>
      <c r="AF419" s="241"/>
      <c r="AG419" s="242"/>
      <c r="AH419" s="240"/>
      <c r="AI419" s="241"/>
      <c r="AJ419" s="241"/>
      <c r="AK419" s="377"/>
      <c r="AL419" s="347"/>
      <c r="AM419" s="353"/>
      <c r="AN419" s="353"/>
      <c r="AO419" s="353"/>
      <c r="AP419" s="353"/>
      <c r="AQ419" s="349"/>
      <c r="AR419" s="768"/>
      <c r="AS419" s="768"/>
      <c r="AT419" s="768"/>
      <c r="BM419" s="335"/>
    </row>
    <row r="420" spans="1:65" ht="23" customHeight="1">
      <c r="A420" s="181">
        <f t="shared" si="144"/>
        <v>45292</v>
      </c>
      <c r="B420" s="182">
        <v>42</v>
      </c>
      <c r="C420" s="245">
        <f>IFERROR(VLOOKUP($B420,'Aktuelle Einnahmen'!A2:G104,3,0),"")</f>
        <v>0</v>
      </c>
      <c r="D420" s="246">
        <f>IFERROR(VLOOKUP($B420,'Aktuelle Einnahmen'!A2:G104,2,0),"")</f>
        <v>0</v>
      </c>
      <c r="E420" s="247">
        <f>IFERROR(VLOOKUP($B420,'Aktuelle Einnahmen'!A2:G104,4,0),"")</f>
        <v>0</v>
      </c>
      <c r="F420" s="94">
        <f>IFERROR(VLOOKUP($B420,'Aktuelle Einnahmen'!A2:G104,5,0),"")</f>
        <v>0</v>
      </c>
      <c r="G420" s="94">
        <f>IFERROR(VLOOKUP($B420,'Aktuelle Einnahmen'!A2:G104,6,0),"")</f>
        <v>0</v>
      </c>
      <c r="H420" s="94">
        <f>IFERROR(VLOOKUP($B420,'Aktuelle Einnahmen'!A2:G104,7,0),"")</f>
        <v>0</v>
      </c>
      <c r="I420" s="186" t="e">
        <f>DATE(H420,G420,F420)</f>
        <v>#NUM!</v>
      </c>
      <c r="J420" s="472">
        <f ca="1">J410</f>
        <v>45475</v>
      </c>
      <c r="K420" s="501" t="str">
        <f t="shared" si="145"/>
        <v>+Inflat.-P</v>
      </c>
      <c r="L420" s="1262" t="str">
        <f>IFERROR(VLOOKUP(B420,'Aktuelle Einnahmen'!A12:I114,9,0),"")</f>
        <v>Auswahl treffen</v>
      </c>
      <c r="M420" s="1263"/>
      <c r="N420" s="261"/>
      <c r="O420" s="261"/>
      <c r="P420" s="261"/>
      <c r="Q420" s="261"/>
      <c r="R420" s="189"/>
      <c r="S420" s="190"/>
      <c r="T420" s="190"/>
      <c r="U420" s="191"/>
      <c r="V420" s="192"/>
      <c r="W420" s="190"/>
      <c r="X420" s="190"/>
      <c r="Y420" s="191"/>
      <c r="Z420" s="192"/>
      <c r="AA420" s="190"/>
      <c r="AB420" s="190"/>
      <c r="AC420" s="191"/>
      <c r="AD420" s="192"/>
      <c r="AE420" s="190"/>
      <c r="AF420" s="190"/>
      <c r="AG420" s="191"/>
      <c r="AH420" s="193"/>
      <c r="AI420" s="190"/>
      <c r="AJ420" s="190"/>
      <c r="AK420" s="374"/>
      <c r="AL420" s="348"/>
      <c r="AM420" s="354"/>
      <c r="AN420" s="354"/>
      <c r="AO420" s="354"/>
      <c r="AP420" s="354"/>
      <c r="AQ420" s="350"/>
      <c r="AR420" s="769"/>
      <c r="AS420" s="769"/>
      <c r="AT420" s="769"/>
      <c r="BM420" s="335"/>
    </row>
    <row r="421" spans="1:65" ht="22.25" customHeight="1">
      <c r="A421" s="181">
        <f t="shared" si="144"/>
        <v>45292</v>
      </c>
      <c r="B421" s="484" t="e">
        <f>DAY(I420)</f>
        <v>#NUM!</v>
      </c>
      <c r="C421" s="489" t="s">
        <v>158</v>
      </c>
      <c r="D421" s="520" t="e">
        <f>(I421*4)+J421/3+1</f>
        <v>#NUM!</v>
      </c>
      <c r="E421" s="194" t="e">
        <f>J423+1</f>
        <v>#NUM!</v>
      </c>
      <c r="F421" s="195" t="e">
        <f t="shared" ref="F421:F428" si="152">DAY(E421)</f>
        <v>#NUM!</v>
      </c>
      <c r="G421" s="196" t="e">
        <f t="shared" ref="G421:G428" si="153">MONTH(E421)</f>
        <v>#NUM!</v>
      </c>
      <c r="H421" s="195" t="e">
        <f t="shared" ref="H421:H428" si="154">YEAR(E421)</f>
        <v>#NUM!</v>
      </c>
      <c r="I421" s="197" t="e">
        <f>H421-(H420+2000)</f>
        <v>#NUM!</v>
      </c>
      <c r="J421" s="198" t="e">
        <f>G421-G420</f>
        <v>#NUM!</v>
      </c>
      <c r="K421" s="506" t="str">
        <f>L419</f>
        <v/>
      </c>
      <c r="L421" s="469"/>
      <c r="M421" s="473" t="e">
        <f ca="1">SUM(J420-E422)&amp;" Tage"</f>
        <v>#NUM!</v>
      </c>
      <c r="N421" s="206"/>
      <c r="O421" s="201"/>
      <c r="P421" s="201"/>
      <c r="Q421" s="202"/>
      <c r="R421" s="189"/>
      <c r="S421" s="203"/>
      <c r="T421" s="203"/>
      <c r="U421" s="204"/>
      <c r="V421" s="192"/>
      <c r="W421" s="203"/>
      <c r="X421" s="203"/>
      <c r="Y421" s="204"/>
      <c r="Z421" s="192"/>
      <c r="AA421" s="203"/>
      <c r="AB421" s="203"/>
      <c r="AC421" s="204"/>
      <c r="AD421" s="192"/>
      <c r="AE421" s="203"/>
      <c r="AF421" s="203"/>
      <c r="AG421" s="204"/>
      <c r="AH421" s="193"/>
      <c r="AI421" s="203"/>
      <c r="AJ421" s="203"/>
      <c r="AK421" s="375"/>
      <c r="AL421" s="348"/>
      <c r="AM421" s="354"/>
      <c r="AN421" s="354"/>
      <c r="AO421" s="354"/>
      <c r="AP421" s="354"/>
      <c r="AQ421" s="350"/>
      <c r="AR421" s="769"/>
      <c r="AS421" s="769"/>
      <c r="AT421" s="769"/>
      <c r="BM421" s="335"/>
    </row>
    <row r="422" spans="1:65" ht="22.25" customHeight="1">
      <c r="A422" s="181">
        <f t="shared" si="144"/>
        <v>45292</v>
      </c>
      <c r="B422" s="485"/>
      <c r="C422" s="490"/>
      <c r="D422" s="521"/>
      <c r="E422" s="194" t="e">
        <f>DATE(YEAR(E421),MONTH(E421)+3,DAY(E421)-1)</f>
        <v>#NUM!</v>
      </c>
      <c r="F422" s="195" t="e">
        <f t="shared" si="152"/>
        <v>#NUM!</v>
      </c>
      <c r="G422" s="196" t="e">
        <f t="shared" si="153"/>
        <v>#NUM!</v>
      </c>
      <c r="H422" s="195" t="e">
        <f t="shared" si="154"/>
        <v>#NUM!</v>
      </c>
      <c r="I422" s="244">
        <v>-1</v>
      </c>
      <c r="J422" s="198" t="e">
        <f>F421-F420</f>
        <v>#NUM!</v>
      </c>
      <c r="K422" s="501" t="str">
        <f t="shared" si="145"/>
        <v>+Inflat.-P</v>
      </c>
      <c r="L422" s="511" t="e">
        <f>IF(M419="Stufe A",IF(AND(L420="Auswahl treffen",D421&gt;=0,D421&lt;=1000),J419,IF(AND(L420="Vermögend und ambulant",D421&gt;8,D421&lt;=1000),130,IF(AND(L420="Vermögend und ambulant",D421&gt;4,D421&lt;=8),158,IF(AND(L420="Vermögend und ambulant",D421&gt;2,D421&lt;=4),192,IF(AND(L420="Vermögend und ambulant",D421&gt;1,D421&lt;=2),208,IF(AND(L420="Vermögend und ambulant",D421&gt;0,D421&lt;=1),298,IF(AND(L420="Vermögend und stationär",D421&gt;8,D421&lt;=1000),78,IF(AND(L420="Vermögend und stationär",D421&gt;4,D421&lt;=8),91,IF(AND(L420="Vermögend und stationär",D421&gt;2,D421&lt;=4),140,IF(AND(L420="Vermögend und stationär",D421&gt;1,D421&lt;=2),158,IF(AND(L420="Vermögend und stationär",D421&gt;0,D421&lt;=1),200,IF(AND(L420="Mittellos und ambulant",D421&gt;8,D421&lt;=1000),105,IF(AND(L420="Mittellos und ambulant",D421&gt;4,D421&lt;=8),122,IF(AND(L420="Mittellos und ambulant",D421&gt;2,D421&lt;=4),151,IF(AND(L420="Mittellos und ambulant",D421&gt;1,D421&lt;=2),170,IF(AND(L420="Mittellos und ambulant",D421&gt;0,D421&lt;=1),208,IF(AND(L420="Mittellos und stationär",D421&gt;8,D421&lt;=1000),62,IF(AND(L420="Mittellos und stationär",D421&gt;4,D421&lt;=8),87,IF(AND(L420="Mittellos und stationär",D421&gt;2,D421&lt;=4),124,IF(AND(L420="Mittellos und stationär",D421&gt;1,D421&lt;=2),129,IF(AND(L420="Mittellos und stationär",D421&gt;0,D421&lt;=1),194,""))))))))))))))))))))),IF(M419="Stufe B",IF(AND(L420="Auswahl treffen",D421&gt;=0,D421&lt;=1000),J419,IF(AND(L420="Vermögend und ambulant",D421&gt;8,D421&lt;=1000),161,IF(AND(L420="Vermögend und ambulant",D421&gt;4,D421&lt;=8),196,IF(AND(L420="Vermögend und ambulant",D421&gt;2,D421&lt;=4),238,IF(AND(L420="Vermögend und ambulant",D421&gt;1,D421&lt;=2),258,IF(AND(L420="Vermögend und ambulant",D421&gt;0,D421&lt;=1),370,IF(AND(L420="Vermögend und stationär",D421&gt;8,D421&lt;=1000),96,IF(AND(L420="Vermögend und stationär",D421&gt;4,D421&lt;=8),113,IF(AND(L420="Vermögend und stationär",D421&gt;2,D421&lt;=4),174,IF(AND(L420="Vermögend und stationär",D421&gt;1,D421&lt;=2),196,IF(AND(L420="Vermögend und stationär",D421&gt;0,D421&lt;=1),249,IF(AND(L420="Mittellos und ambulant",D421&gt;8,D421&lt;=1000),130,IF(AND(L420="Mittellos und ambulant",D421&gt;4,D421&lt;=8),151,IF(AND(L420="Mittellos und ambulant",D421&gt;2,D421&lt;=4),188,IF(AND(L420="Mittellos und ambulant",D421&gt;1,D421&lt;=2),211,IF(AND(L420="Mittellos und ambulant",D421&gt;0,D421&lt;=1),258,IF(AND(L420="Mittellos und stationär",D421&gt;8,D421&lt;=1000),78,IF(AND(L420="Mittellos und stationär",D421&gt;4,D421&lt;=8),107,IF(AND(L420="Mittellos und stationär",D421&gt;2,D421&lt;=4),154,IF(AND(L420="Mittellos und stationär",D421&gt;1,D421&lt;=2),158,IF(AND(L420="Mittellos und stationär",D421&gt;0,D421&lt;=1),241,""))))))))))))))))))))),IF(M419="Stufe C",IF(AND(L420="Auswahl treffen",D421&gt;=0,D421&lt;=1000),J419,IF(AND(L420="Vermögend und ambulant",D421&gt;8,D421&lt;=1000),211,IF(AND(L420="Vermögend und ambulant",D421&gt;4,D421&lt;=8),257,IF(AND(L420="Vermögend und ambulant",D421&gt;2,D421&lt;=4),312,IF(AND(L420="Vermögend und ambulant",D421&gt;1,D421&lt;=2),339,IF(AND(L420="Vermögend und ambulant",D421&gt;0,D421&lt;=1),486,IF(AND(L420="Vermögend und stationär",D421&gt;8,D421&lt;=1000),127,IF(AND(L420="Vermögend und stationär",D421&gt;4,D421&lt;=8),149,IF(AND(L420="Vermögend und stationär",D421&gt;2,D421&lt;=4),229,IF(AND(L420="Vermögend und stationär",D421&gt;1,D421&lt;=2),257,IF(AND(L420="Vermögend und stationär",D421&gt;0,D421&lt;=1),327,IF(AND(L420="Mittellos und ambulant",D421&gt;8,D421&lt;=1000),171,IF(AND(L420="Mittellos und ambulant",D421&gt;4,D421&lt;=8),198,IF(AND(L420="Mittellos und ambulant",D421&gt;2,D421&lt;=4),246,IF(AND(L420="Mittellos und ambulant",D421&gt;1,D421&lt;=2),277,IF(AND(L420="Mittellos und ambulant",D421&gt;0,D421&lt;=1),339,IF(AND(L420="Mittellos und stationär",D421&gt;8,D421&lt;=1000),102,IF(AND(L420="Mittellos und stationär",D421&gt;4,D421&lt;=8),141,IF(AND(L420="Mittellos und stationär",D421&gt;2,D421&lt;=4),202,IF(AND(L420="Mittellos und stationär",D421&gt;1,D421&lt;=2),208,IF(AND(L420="Mittellos und stationär",D421&gt;0,D421&lt;=1),317,""))))))))))))))))))))),"")))*3+(J419*90)</f>
        <v>#NUM!</v>
      </c>
      <c r="M422" s="507" t="str">
        <f>CONCATENATE(K422, K421)</f>
        <v>+Inflat.-P</v>
      </c>
      <c r="N422" s="206" t="s">
        <v>118</v>
      </c>
      <c r="O422" s="207"/>
      <c r="P422" s="207"/>
      <c r="Q422" s="208"/>
      <c r="R422" s="187"/>
      <c r="S422" s="209" t="s">
        <v>118</v>
      </c>
      <c r="T422" s="201" t="s">
        <v>117</v>
      </c>
      <c r="U422" s="210" t="s">
        <v>26</v>
      </c>
      <c r="V422" s="192"/>
      <c r="W422" s="203"/>
      <c r="X422" s="203"/>
      <c r="Y422" s="210"/>
      <c r="Z422" s="192"/>
      <c r="AA422" s="203"/>
      <c r="AB422" s="203"/>
      <c r="AC422" s="210"/>
      <c r="AD422" s="192"/>
      <c r="AE422" s="203"/>
      <c r="AF422" s="203"/>
      <c r="AG422" s="210"/>
      <c r="AH422" s="193"/>
      <c r="AI422" s="203"/>
      <c r="AJ422" s="203"/>
      <c r="AK422" s="376"/>
      <c r="AL422" s="348" t="s">
        <v>148</v>
      </c>
      <c r="AM422" s="354">
        <f>IF(SUM(N420:N428)=SUM(S420:S428), 0, SUM(N420:N428)-SUM(S420:S428))</f>
        <v>0</v>
      </c>
      <c r="AN422" s="354"/>
      <c r="AO422" s="354"/>
      <c r="AP422" s="354"/>
      <c r="AQ422" s="350">
        <f>AM422+AN422+AO422+AP422</f>
        <v>0</v>
      </c>
      <c r="AR422" s="769"/>
      <c r="AS422" s="769"/>
      <c r="AT422" s="769"/>
      <c r="BM422" s="335"/>
    </row>
    <row r="423" spans="1:65" ht="22.25" customHeight="1">
      <c r="A423" s="181">
        <f t="shared" si="144"/>
        <v>45292</v>
      </c>
      <c r="B423" s="484" t="e">
        <f>MONTH(I420)</f>
        <v>#NUM!</v>
      </c>
      <c r="C423" s="489" t="s">
        <v>158</v>
      </c>
      <c r="D423" s="522" t="e">
        <f>D421+1</f>
        <v>#NUM!</v>
      </c>
      <c r="E423" s="211" t="e">
        <f>DATE(YEAR(E422),MONTH(E422),DAY(E422)+1)</f>
        <v>#NUM!</v>
      </c>
      <c r="F423" s="212" t="e">
        <f t="shared" si="152"/>
        <v>#NUM!</v>
      </c>
      <c r="G423" s="213" t="e">
        <f t="shared" si="153"/>
        <v>#NUM!</v>
      </c>
      <c r="H423" s="212" t="e">
        <f t="shared" si="154"/>
        <v>#NUM!</v>
      </c>
      <c r="I423" s="214" t="str">
        <f>IF(D420&lt;&gt;0,"-1T","")</f>
        <v/>
      </c>
      <c r="J423" s="215" t="e">
        <f>DATE($B425,I424,$B421)</f>
        <v>#NUM!</v>
      </c>
      <c r="K423" s="506" t="str">
        <f t="shared" si="145"/>
        <v/>
      </c>
      <c r="L423" s="470"/>
      <c r="M423" s="473" t="e">
        <f ca="1">SUM(J420-E424)&amp;" Tage"</f>
        <v>#NUM!</v>
      </c>
      <c r="N423" s="216"/>
      <c r="O423" s="217"/>
      <c r="P423" s="188"/>
      <c r="Q423" s="217"/>
      <c r="R423" s="189"/>
      <c r="S423" s="190"/>
      <c r="T423" s="190"/>
      <c r="U423" s="191"/>
      <c r="V423" s="192"/>
      <c r="W423" s="190"/>
      <c r="X423" s="190"/>
      <c r="Y423" s="191"/>
      <c r="Z423" s="192"/>
      <c r="AA423" s="190"/>
      <c r="AB423" s="190"/>
      <c r="AC423" s="191"/>
      <c r="AD423" s="192"/>
      <c r="AE423" s="190"/>
      <c r="AF423" s="190"/>
      <c r="AG423" s="191"/>
      <c r="AH423" s="193"/>
      <c r="AI423" s="190"/>
      <c r="AJ423" s="190"/>
      <c r="AK423" s="374"/>
      <c r="AL423" s="348"/>
      <c r="AM423" s="354"/>
      <c r="AN423" s="354"/>
      <c r="AO423" s="354"/>
      <c r="AP423" s="354"/>
      <c r="AQ423" s="350"/>
      <c r="AR423" s="769"/>
      <c r="AS423" s="769"/>
      <c r="AT423" s="769"/>
      <c r="BM423" s="335"/>
    </row>
    <row r="424" spans="1:65" ht="22.25" customHeight="1">
      <c r="A424" s="181">
        <f t="shared" si="144"/>
        <v>45292</v>
      </c>
      <c r="B424" s="485"/>
      <c r="C424" s="490"/>
      <c r="D424" s="521"/>
      <c r="E424" s="218" t="e">
        <f>DATE(YEAR(E423),MONTH(E423)+3,DAY(E423)-1)</f>
        <v>#NUM!</v>
      </c>
      <c r="F424" s="212" t="e">
        <f t="shared" si="152"/>
        <v>#NUM!</v>
      </c>
      <c r="G424" s="213" t="e">
        <f t="shared" si="153"/>
        <v>#NUM!</v>
      </c>
      <c r="H424" s="212" t="e">
        <f t="shared" si="154"/>
        <v>#NUM!</v>
      </c>
      <c r="I424" s="219">
        <f>MAX(I425:I428)</f>
        <v>9</v>
      </c>
      <c r="J424" s="220" t="e">
        <f>DATE(YEAR(J423)+1,MONTH(J423),DAY(J423))</f>
        <v>#NUM!</v>
      </c>
      <c r="K424" s="501" t="str">
        <f t="shared" si="145"/>
        <v>+Inflat.-P</v>
      </c>
      <c r="L424" s="508" t="e">
        <f>IF(M419="Stufe A",IF(AND(L420="Auswahl treffen",D423&gt;=0,D423&lt;=1000),J419,IF(AND(L420="Vermögend und ambulant",D423&gt;8,D423&lt;=1000),130,IF(AND(L420="Vermögend und ambulant",D423&gt;4,D423&lt;=8),158,IF(AND(L420="Vermögend und ambulant",D423&gt;2,D423&lt;=4),192,IF(AND(L420="Vermögend und ambulant",D423&gt;1,D423&lt;=2),208,IF(AND(L420="Vermögend und ambulant",D423&gt;0,D423&lt;=1),298,IF(AND(L420="Vermögend und stationär",D423&gt;8,D423&lt;=1000),78,IF(AND(L420="Vermögend und stationär",D423&gt;4,D423&lt;=8),91,IF(AND(L420="Vermögend und stationär",D423&gt;2,D423&lt;=4),140,IF(AND(L420="Vermögend und stationär",D423&gt;1,D423&lt;=2),158,IF(AND(L420="Vermögend und stationär",D423&gt;0,D423&lt;=1),200,IF(AND(L420="Mittellos und ambulant",D423&gt;8,D423&lt;=1000),105,IF(AND(L420="Mittellos und ambulant",D423&gt;4,D423&lt;=8),122,IF(AND(L420="Mittellos und ambulant",D423&gt;2,D423&lt;=4),151,IF(AND(L420="Mittellos und ambulant",D423&gt;1,D423&lt;=2),170,IF(AND(L420="Mittellos und ambulant",D423&gt;0,D423&lt;=1),208,IF(AND(L420="Mittellos und stationär",D423&gt;8,D423&lt;=1000),62,IF(AND(L420="Mittellos und stationär",D423&gt;4,D423&lt;=8),87,IF(AND(L420="Mittellos und stationär",D423&gt;2,D423&lt;=4),124,IF(AND(L420="Mittellos und stationär",D423&gt;1,D423&lt;=2),129,IF(AND(L420="Mittellos und stationär",D423&gt;0,D423&lt;=1),194,""))))))))))))))))))))),IF(M419="Stufe B",IF(AND(L420="Auswahl treffen",D423&gt;=0,D423&lt;=1000),J419,IF(AND(L420="Vermögend und ambulant",D423&gt;8,D423&lt;=1000),161,IF(AND(L420="Vermögend und ambulant",D423&gt;4,D423&lt;=8),196,IF(AND(L420="Vermögend und ambulant",D423&gt;2,D423&lt;=4),238,IF(AND(L420="Vermögend und ambulant",D423&gt;1,D423&lt;=2),258,IF(AND(L420="Vermögend und ambulant",D423&gt;0,D423&lt;=1),370,IF(AND(L420="Vermögend und stationär",D423&gt;8,D423&lt;=1000),96,IF(AND(L420="Vermögend und stationär",D423&gt;4,D423&lt;=8),113,IF(AND(L420="Vermögend und stationär",D423&gt;2,D423&lt;=4),174,IF(AND(L420="Vermögend und stationär",D423&gt;1,D423&lt;=2),196,IF(AND(L420="Vermögend und stationär",D423&gt;0,D423&lt;=1),249,IF(AND(L420="Mittellos und ambulant",D423&gt;8,D423&lt;=1000),130,IF(AND(L420="Mittellos und ambulant",D423&gt;4,D423&lt;=8),151,IF(AND(L420="Mittellos und ambulant",D423&gt;2,D423&lt;=4),188,IF(AND(L420="Mittellos und ambulant",D423&gt;1,D423&lt;=2),211,IF(AND(L420="Mittellos und ambulant",D423&gt;0,D423&lt;=1),258,IF(AND(L420="Mittellos und stationär",D423&gt;8,D423&lt;=1000),78,IF(AND(L420="Mittellos und stationär",D423&gt;4,D423&lt;=8),107,IF(AND(L420="Mittellos und stationär",D423&gt;2,D423&lt;=4),154,IF(AND(L420="Mittellos und stationär",D423&gt;1,D423&lt;=2),158,IF(AND(L420="Mittellos und stationär",D423&gt;0,D423&lt;=1),241,""))))))))))))))))))))),IF(M419="Stufe C",IF(AND(L420="Auswahl treffen",D423&gt;=0,D423&lt;=1000),J419,IF(AND(L420="Vermögend und ambulant",D423&gt;8,D423&lt;=1000),211,IF(AND(L420="Vermögend und ambulant",D423&gt;4,D423&lt;=8),257,IF(AND(L420="Vermögend und ambulant",D423&gt;2,D423&lt;=4),312,IF(AND(L420="Vermögend und ambulant",D423&gt;1,D423&lt;=2),339,IF(AND(L420="Vermögend und ambulant",D423&gt;0,D423&lt;=1),486,IF(AND(L420="Vermögend und stationär",D423&gt;8,D423&lt;=1000),127,IF(AND(L420="Vermögend und stationär",D423&gt;4,D423&lt;=8),149,IF(AND(L420="Vermögend und stationär",D423&gt;2,D423&lt;=4),229,IF(AND(L420="Vermögend und stationär",D423&gt;1,D423&lt;=2),257,IF(AND(L420="Vermögend und stationär",D423&gt;0,D423&lt;=1),327,IF(AND(L420="Mittellos und ambulant",D423&gt;8,D423&lt;=1000),171,IF(AND(L420="Mittellos und ambulant",D423&gt;4,D423&lt;=8),198,IF(AND(L420="Mittellos und ambulant",D423&gt;2,D423&lt;=4),246,IF(AND(L420="Mittellos und ambulant",D423&gt;1,D423&lt;=2),277,IF(AND(L420="Mittellos und ambulant",D423&gt;0,D423&lt;=1),339,IF(AND(L420="Mittellos und stationär",D423&gt;8,D423&lt;=1000),102,IF(AND(L420="Mittellos und stationär",D423&gt;4,D423&lt;=8),141,IF(AND(L420="Mittellos und stationär",D423&gt;2,D423&lt;=4),202,IF(AND(L420="Mittellos und stationär",D423&gt;1,D423&lt;=2),208,IF(AND(L420="Mittellos und stationär",D423&gt;0,D423&lt;=1),317,""))))))))))))))))))))),"")))*3+(J419*90)</f>
        <v>#NUM!</v>
      </c>
      <c r="M424" s="507" t="str">
        <f>CONCATENATE(K424, K423)</f>
        <v>+Inflat.-P</v>
      </c>
      <c r="N424" s="216"/>
      <c r="O424" s="188" t="s">
        <v>118</v>
      </c>
      <c r="P424" s="188"/>
      <c r="Q424" s="221"/>
      <c r="R424" s="199"/>
      <c r="S424" s="190"/>
      <c r="T424" s="190"/>
      <c r="U424" s="191"/>
      <c r="V424" s="192"/>
      <c r="W424" s="222" t="s">
        <v>118</v>
      </c>
      <c r="X424" s="222" t="s">
        <v>117</v>
      </c>
      <c r="Y424" s="191" t="s">
        <v>26</v>
      </c>
      <c r="Z424" s="192"/>
      <c r="AA424" s="190"/>
      <c r="AB424" s="190"/>
      <c r="AC424" s="191"/>
      <c r="AD424" s="192"/>
      <c r="AE424" s="190"/>
      <c r="AF424" s="190"/>
      <c r="AG424" s="191"/>
      <c r="AH424" s="193"/>
      <c r="AI424" s="190"/>
      <c r="AJ424" s="190"/>
      <c r="AK424" s="374"/>
      <c r="AL424" s="348" t="s">
        <v>149</v>
      </c>
      <c r="AM424" s="354"/>
      <c r="AN424" s="354">
        <f>IF(SUM(O420:O428)=SUM(W420:W428), 0, SUM(O420:O428)-SUM(W420:W428))</f>
        <v>0</v>
      </c>
      <c r="AO424" s="354"/>
      <c r="AP424" s="354"/>
      <c r="AQ424" s="350">
        <f>AM424+AN424+AO424+AP424</f>
        <v>0</v>
      </c>
      <c r="AR424" s="769"/>
      <c r="AS424" s="769"/>
      <c r="AT424" s="769"/>
      <c r="BM424" s="335"/>
    </row>
    <row r="425" spans="1:65" ht="22.25" customHeight="1">
      <c r="A425" s="181">
        <f t="shared" si="144"/>
        <v>45292</v>
      </c>
      <c r="B425" s="484">
        <f>YEAR($A426)-1</f>
        <v>2023</v>
      </c>
      <c r="C425" s="489" t="s">
        <v>158</v>
      </c>
      <c r="D425" s="520" t="e">
        <f>D423+1</f>
        <v>#NUM!</v>
      </c>
      <c r="E425" s="194" t="e">
        <f>DATE(YEAR(E424),MONTH(E424),DAY(E424)+1)</f>
        <v>#NUM!</v>
      </c>
      <c r="F425" s="195" t="e">
        <f t="shared" si="152"/>
        <v>#NUM!</v>
      </c>
      <c r="G425" s="196" t="e">
        <f t="shared" si="153"/>
        <v>#NUM!</v>
      </c>
      <c r="H425" s="195" t="e">
        <f t="shared" si="154"/>
        <v>#NUM!</v>
      </c>
      <c r="I425" s="197">
        <f>IF(J427&lt;13,J427,"")</f>
        <v>9</v>
      </c>
      <c r="J425" s="224">
        <f>G420</f>
        <v>0</v>
      </c>
      <c r="K425" s="501" t="str">
        <f t="shared" si="145"/>
        <v/>
      </c>
      <c r="L425" s="471"/>
      <c r="M425" s="473" t="e">
        <f ca="1">SUM(J420-E426)&amp;" Tage"</f>
        <v>#NUM!</v>
      </c>
      <c r="N425" s="200"/>
      <c r="O425" s="201"/>
      <c r="P425" s="201"/>
      <c r="Q425" s="202"/>
      <c r="R425" s="189"/>
      <c r="S425" s="203"/>
      <c r="T425" s="203"/>
      <c r="U425" s="204"/>
      <c r="V425" s="192"/>
      <c r="W425" s="203"/>
      <c r="X425" s="203"/>
      <c r="Y425" s="204"/>
      <c r="Z425" s="192"/>
      <c r="AA425" s="203"/>
      <c r="AB425" s="203"/>
      <c r="AC425" s="204"/>
      <c r="AD425" s="192"/>
      <c r="AE425" s="203"/>
      <c r="AF425" s="203"/>
      <c r="AG425" s="204"/>
      <c r="AH425" s="193"/>
      <c r="AI425" s="203"/>
      <c r="AJ425" s="203"/>
      <c r="AK425" s="375"/>
      <c r="AL425" s="348"/>
      <c r="AM425" s="354"/>
      <c r="AN425" s="354"/>
      <c r="AO425" s="354"/>
      <c r="AP425" s="354"/>
      <c r="AQ425" s="350"/>
      <c r="AR425" s="769"/>
      <c r="AS425" s="769"/>
      <c r="AT425" s="769"/>
      <c r="BM425" s="335"/>
    </row>
    <row r="426" spans="1:65" ht="22.25" customHeight="1">
      <c r="A426" s="181">
        <f t="shared" si="144"/>
        <v>45292</v>
      </c>
      <c r="B426" s="485"/>
      <c r="C426" s="490"/>
      <c r="D426" s="521"/>
      <c r="E426" s="194" t="e">
        <f>DATE(YEAR(E425),MONTH(E425)+3,DAY(E425)-1)</f>
        <v>#NUM!</v>
      </c>
      <c r="F426" s="195" t="e">
        <f t="shared" si="152"/>
        <v>#NUM!</v>
      </c>
      <c r="G426" s="196" t="e">
        <f t="shared" si="153"/>
        <v>#NUM!</v>
      </c>
      <c r="H426" s="195" t="e">
        <f t="shared" si="154"/>
        <v>#NUM!</v>
      </c>
      <c r="I426" s="244">
        <f>IF(J428&lt;13,J428,"")</f>
        <v>6</v>
      </c>
      <c r="J426" s="224">
        <f>J425+3</f>
        <v>3</v>
      </c>
      <c r="K426" s="506" t="str">
        <f t="shared" si="145"/>
        <v>+Inflat.-P</v>
      </c>
      <c r="L426" s="511" t="e">
        <f>IF(M419="Stufe A",IF(AND(L420="Auswahl treffen",D425&gt;=0,D425&lt;=1000),J419,IF(AND(L420="Vermögend und ambulant",D425&gt;8,D425&lt;=1000),130,IF(AND(L420="Vermögend und ambulant",D425&gt;4,D425&lt;=8),158,IF(AND(L420="Vermögend und ambulant",D425&gt;2,D425&lt;=4),192,IF(AND(L420="Vermögend und ambulant",D425&gt;1,D425&lt;=2),208,IF(AND(L420="Vermögend und ambulant",D425&gt;0,D425&lt;=1),298,IF(AND(L420="Vermögend und stationär",D425&gt;8,D425&lt;=1000),78,IF(AND(L420="Vermögend und stationär",D425&gt;4,D425&lt;=8),91,IF(AND(L420="Vermögend und stationär",D425&gt;2,D425&lt;=4),140,IF(AND(L420="Vermögend und stationär",D425&gt;1,D425&lt;=2),158,IF(AND(L420="Vermögend und stationär",D425&gt;0,D425&lt;=1),200,IF(AND(L420="Mittellos und ambulant",D425&gt;8,D425&lt;=1000),105,IF(AND(L420="Mittellos und ambulant",D425&gt;4,D425&lt;=8),122,IF(AND(L420="Mittellos und ambulant",D425&gt;2,D425&lt;=4),151,IF(AND(L420="Mittellos und ambulant",D425&gt;1,D425&lt;=2),170,IF(AND(L420="Mittellos und ambulant",D425&gt;0,D425&lt;=1),208,IF(AND(L420="Mittellos und stationär",D425&gt;8,D425&lt;=1000),62,IF(AND(L420="Mittellos und stationär",D425&gt;4,D425&lt;=8),87,IF(AND(L420="Mittellos und stationär",D425&gt;2,D425&lt;=4),124,IF(AND(L420="Mittellos und stationär",D425&gt;1,D425&lt;=2),129,IF(AND(L420="Mittellos und stationär",D425&gt;0,D425&lt;=1),194,""))))))))))))))))))))),IF(M419="Stufe B",IF(AND(L420="Auswahl treffen",D425&gt;=0,D425&lt;=1000),J419,IF(AND(L420="Vermögend und ambulant",D425&gt;8,D425&lt;=1000),161,IF(AND(L420="Vermögend und ambulant",D425&gt;4,D425&lt;=8),196,IF(AND(L420="Vermögend und ambulant",D425&gt;2,D425&lt;=4),238,IF(AND(L420="Vermögend und ambulant",D425&gt;1,D425&lt;=2),258,IF(AND(L420="Vermögend und ambulant",D425&gt;0,D425&lt;=1),370,IF(AND(L420="Vermögend und stationär",D425&gt;8,D425&lt;=1000),96,IF(AND(L420="Vermögend und stationär",D425&gt;4,D425&lt;=8),113,IF(AND(L420="Vermögend und stationär",D425&gt;2,D425&lt;=4),174,IF(AND(L420="Vermögend und stationär",D425&gt;1,D425&lt;=2),196,IF(AND(L420="Vermögend und stationär",D425&gt;0,D425&lt;=1),249,IF(AND(L420="Mittellos und ambulant",D425&gt;8,D425&lt;=1000),130,IF(AND(L420="Mittellos und ambulant",D425&gt;4,D425&lt;=8),151,IF(AND(L420="Mittellos und ambulant",D425&gt;2,D425&lt;=4),188,IF(AND(L420="Mittellos und ambulant",D425&gt;1,D425&lt;=2),211,IF(AND(L420="Mittellos und ambulant",D425&gt;0,D425&lt;=1),258,IF(AND(L420="Mittellos und stationär",D425&gt;8,D425&lt;=1000),78,IF(AND(L420="Mittellos und stationär",D425&gt;4,D425&lt;=8),107,IF(AND(L420="Mittellos und stationär",D425&gt;2,D425&lt;=4),154,IF(AND(L420="Mittellos und stationär",D425&gt;1,D425&lt;=2),158,IF(AND(L420="Mittellos und stationär",D425&gt;0,D425&lt;=1),241,""))))))))))))))))))))),IF(M419="Stufe C",IF(AND(L420="Auswahl treffen",D425&gt;=0,D425&lt;=1000),J419,IF(AND(L420="Vermögend und ambulant",D425&gt;8,D425&lt;=1000),211,IF(AND(L420="Vermögend und ambulant",D425&gt;4,D425&lt;=8),257,IF(AND(L420="Vermögend und ambulant",D425&gt;2,D425&lt;=4),312,IF(AND(L420="Vermögend und ambulant",D425&gt;1,D425&lt;=2),339,IF(AND(L420="Vermögend und ambulant",D425&gt;0,D425&lt;=1),486,IF(AND(L420="Vermögend und stationär",D425&gt;8,D425&lt;=1000),127,IF(AND(L420="Vermögend und stationär",D425&gt;4,D425&lt;=8),149,IF(AND(L420="Vermögend und stationär",D425&gt;2,D425&lt;=4),229,IF(AND(L420="Vermögend und stationär",D425&gt;1,D425&lt;=2),257,IF(AND(L420="Vermögend und stationär",D425&gt;0,D425&lt;=1),327,IF(AND(L420="Mittellos und ambulant",D425&gt;8,D425&lt;=1000),171,IF(AND(L420="Mittellos und ambulant",D425&gt;4,D425&lt;=8),198,IF(AND(L420="Mittellos und ambulant",D425&gt;2,D425&lt;=4),246,IF(AND(L420="Mittellos und ambulant",D425&gt;1,D425&lt;=2),277,IF(AND(L420="Mittellos und ambulant",D425&gt;0,D425&lt;=1),339,IF(AND(L420="Mittellos und stationär",D425&gt;8,D425&lt;=1000),102,IF(AND(L420="Mittellos und stationär",D425&gt;4,D425&lt;=8),141,IF(AND(L420="Mittellos und stationär",D425&gt;2,D425&lt;=4),202,IF(AND(L420="Mittellos und stationär",D425&gt;1,D425&lt;=2),208,IF(AND(L420="Mittellos und stationär",D425&gt;0,D425&lt;=1),317,""))))))))))))))))))))),"")))*3+(J419*90)</f>
        <v>#NUM!</v>
      </c>
      <c r="M426" s="507" t="str">
        <f>CONCATENATE(K426, K425)</f>
        <v>+Inflat.-P</v>
      </c>
      <c r="N426" s="206"/>
      <c r="O426" s="207"/>
      <c r="P426" s="206" t="s">
        <v>118</v>
      </c>
      <c r="Q426" s="226"/>
      <c r="R426" s="189"/>
      <c r="S426" s="203"/>
      <c r="T426" s="203"/>
      <c r="U426" s="204"/>
      <c r="V426" s="192"/>
      <c r="W426" s="203"/>
      <c r="X426" s="203"/>
      <c r="Y426" s="204"/>
      <c r="Z426" s="192"/>
      <c r="AA426" s="209" t="s">
        <v>118</v>
      </c>
      <c r="AB426" s="209" t="s">
        <v>117</v>
      </c>
      <c r="AC426" s="204" t="s">
        <v>26</v>
      </c>
      <c r="AD426" s="192"/>
      <c r="AE426" s="203"/>
      <c r="AF426" s="203"/>
      <c r="AG426" s="204"/>
      <c r="AH426" s="193"/>
      <c r="AI426" s="203"/>
      <c r="AJ426" s="203"/>
      <c r="AK426" s="375"/>
      <c r="AL426" s="348" t="s">
        <v>150</v>
      </c>
      <c r="AM426" s="354"/>
      <c r="AN426" s="354"/>
      <c r="AO426" s="354">
        <f>IF(SUM(P420:P428)=SUM(AA420:AA428), 0, SUM(P420:P428)-SUM(AA420:AA428))</f>
        <v>0</v>
      </c>
      <c r="AP426" s="354"/>
      <c r="AQ426" s="350">
        <f>AM426+AN426+AO426+AP426</f>
        <v>0</v>
      </c>
      <c r="AR426" s="769"/>
      <c r="AS426" s="769"/>
      <c r="AT426" s="769"/>
      <c r="BM426" s="335"/>
    </row>
    <row r="427" spans="1:65" ht="22.25" customHeight="1">
      <c r="A427" s="181">
        <f t="shared" si="144"/>
        <v>45292</v>
      </c>
      <c r="B427" s="486"/>
      <c r="C427" s="489" t="s">
        <v>158</v>
      </c>
      <c r="D427" s="522" t="e">
        <f>D425+1</f>
        <v>#NUM!</v>
      </c>
      <c r="E427" s="211" t="e">
        <f>DATE(YEAR(E426),MONTH(E426),DAY(E426)+1)</f>
        <v>#NUM!</v>
      </c>
      <c r="F427" s="227" t="e">
        <f t="shared" si="152"/>
        <v>#NUM!</v>
      </c>
      <c r="G427" s="228" t="e">
        <f t="shared" si="153"/>
        <v>#NUM!</v>
      </c>
      <c r="H427" s="227" t="e">
        <f t="shared" si="154"/>
        <v>#NUM!</v>
      </c>
      <c r="I427" s="231">
        <f>IF(J426&lt;13,J426,"")</f>
        <v>3</v>
      </c>
      <c r="J427" s="230">
        <f>J428+3</f>
        <v>9</v>
      </c>
      <c r="K427" s="501" t="str">
        <f t="shared" si="145"/>
        <v/>
      </c>
      <c r="L427" s="471"/>
      <c r="M427" s="473" t="e">
        <f ca="1">SUM(J420-E428)&amp;" Tage"</f>
        <v>#NUM!</v>
      </c>
      <c r="N427" s="216"/>
      <c r="O427" s="188"/>
      <c r="P427" s="188"/>
      <c r="Q427" s="217"/>
      <c r="R427" s="189"/>
      <c r="S427" s="190"/>
      <c r="T427" s="190"/>
      <c r="U427" s="191"/>
      <c r="V427" s="192"/>
      <c r="W427" s="190"/>
      <c r="X427" s="190"/>
      <c r="Y427" s="191"/>
      <c r="Z427" s="192"/>
      <c r="AA427" s="190"/>
      <c r="AB427" s="190"/>
      <c r="AC427" s="191"/>
      <c r="AD427" s="192"/>
      <c r="AE427" s="190"/>
      <c r="AF427" s="190"/>
      <c r="AG427" s="191"/>
      <c r="AH427" s="193"/>
      <c r="AI427" s="190"/>
      <c r="AJ427" s="190"/>
      <c r="AK427" s="374"/>
      <c r="AL427" s="348"/>
      <c r="AM427" s="354"/>
      <c r="AN427" s="354"/>
      <c r="AO427" s="354"/>
      <c r="AP427" s="354"/>
      <c r="AQ427" s="350"/>
      <c r="AR427" s="769"/>
      <c r="AS427" s="769"/>
      <c r="AT427" s="769"/>
      <c r="BM427" s="335"/>
    </row>
    <row r="428" spans="1:65" ht="22.25" customHeight="1">
      <c r="A428" s="181">
        <f t="shared" si="144"/>
        <v>45292</v>
      </c>
      <c r="B428" s="485"/>
      <c r="C428" s="490"/>
      <c r="D428" s="521"/>
      <c r="E428" s="218" t="e">
        <f>DATE(YEAR(E427),MONTH(E427)+3,DAY(E427)-1)</f>
        <v>#NUM!</v>
      </c>
      <c r="F428" s="227" t="e">
        <f t="shared" si="152"/>
        <v>#NUM!</v>
      </c>
      <c r="G428" s="228" t="e">
        <f t="shared" si="153"/>
        <v>#NUM!</v>
      </c>
      <c r="H428" s="227" t="e">
        <f t="shared" si="154"/>
        <v>#NUM!</v>
      </c>
      <c r="I428" s="231">
        <f>IF(J425&lt;13,J425,"")</f>
        <v>0</v>
      </c>
      <c r="J428" s="230">
        <f>J426+3</f>
        <v>6</v>
      </c>
      <c r="K428" s="506" t="str">
        <f t="shared" si="145"/>
        <v>+Inflat.-P</v>
      </c>
      <c r="L428" s="508" t="e">
        <f>IF(M419="Stufe A",IF(AND(L420="Auswahl treffen",D427&gt;=0,D427&lt;=1000),J419,IF(AND(L420="Vermögend und ambulant",D427&gt;8,D427&lt;=1000),130,IF(AND(L420="Vermögend und ambulant",D427&gt;4,D427&lt;=8),158,IF(AND(L420="Vermögend und ambulant",D427&gt;2,D427&lt;=4),192,IF(AND(L420="Vermögend und ambulant",D427&gt;1,D427&lt;=2),208,IF(AND(L420="Vermögend und ambulant",D427&gt;0,D427&lt;=1),298,IF(AND(L420="Vermögend und stationär",D427&gt;8,D427&lt;=1000),78,IF(AND(L420="Vermögend und stationär",D427&gt;4,D427&lt;=8),91,IF(AND(L420="Vermögend und stationär",D427&gt;2,D427&lt;=4),140,IF(AND(L420="Vermögend und stationär",D427&gt;1,D427&lt;=2),158,IF(AND(L420="Vermögend und stationär",D427&gt;0,D427&lt;=1),200,IF(AND(L420="Mittellos und ambulant",D427&gt;8,D427&lt;=1000),105,IF(AND(L420="Mittellos und ambulant",D427&gt;4,D427&lt;=8),122,IF(AND(L420="Mittellos und ambulant",D427&gt;2,D427&lt;=4),151,IF(AND(L420="Mittellos und ambulant",D427&gt;1,D427&lt;=2),170,IF(AND(L420="Mittellos und ambulant",D427&gt;0,D427&lt;=1),208,IF(AND(L420="Mittellos und stationär",D427&gt;8,D427&lt;=1000),62,IF(AND(L420="Mittellos und stationär",D427&gt;4,D427&lt;=8),87,IF(AND(L420="Mittellos und stationär",D427&gt;2,D427&lt;=4),124,IF(AND(L420="Mittellos und stationär",D427&gt;1,D427&lt;=2),129,IF(AND(L420="Mittellos und stationär",D427&gt;0,D427&lt;=1),194,""))))))))))))))))))))),IF(M419="Stufe B",IF(AND(L420="Auswahl treffen",D427&gt;=0,D427&lt;=1000),J419,IF(AND(L420="Vermögend und ambulant",D427&gt;8,D427&lt;=1000),161,IF(AND(L420="Vermögend und ambulant",D427&gt;4,D427&lt;=8),196,IF(AND(L420="Vermögend und ambulant",D427&gt;2,D427&lt;=4),238,IF(AND(L420="Vermögend und ambulant",D427&gt;1,D427&lt;=2),258,IF(AND(L420="Vermögend und ambulant",D427&gt;0,D427&lt;=1),370,IF(AND(L420="Vermögend und stationär",D427&gt;8,D427&lt;=1000),96,IF(AND(L420="Vermögend und stationär",D427&gt;4,D427&lt;=8),113,IF(AND(L420="Vermögend und stationär",D427&gt;2,D427&lt;=4),174,IF(AND(L420="Vermögend und stationär",D427&gt;1,D427&lt;=2),196,IF(AND(L420="Vermögend und stationär",D427&gt;0,D427&lt;=1),249,IF(AND(L420="Mittellos und ambulant",D427&gt;8,D427&lt;=1000),130,IF(AND(L420="Mittellos und ambulant",D427&gt;4,D427&lt;=8),151,IF(AND(L420="Mittellos und ambulant",D427&gt;2,D427&lt;=4),188,IF(AND(L420="Mittellos und ambulant",D427&gt;1,D427&lt;=2),211,IF(AND(L420="Mittellos und ambulant",D427&gt;0,D427&lt;=1),258,IF(AND(L420="Mittellos und stationär",D427&gt;8,D427&lt;=1000),78,IF(AND(L420="Mittellos und stationär",D427&gt;4,D427&lt;=8),107,IF(AND(L420="Mittellos und stationär",D427&gt;2,D427&lt;=4),154,IF(AND(L420="Mittellos und stationär",D427&gt;1,D427&lt;=2),158,IF(AND(L420="Mittellos und stationär",D427&gt;0,D427&lt;=1),241,""))))))))))))))))))))),IF(M419="Stufe C",IF(AND(L420="Auswahl treffen",D427&gt;=0,D427&lt;=1000),J419,IF(AND(L420="Vermögend und ambulant",D427&gt;8,D427&lt;=1000),211,IF(AND(L420="Vermögend und ambulant",D427&gt;4,D427&lt;=8),257,IF(AND(L420="Vermögend und ambulant",D427&gt;2,D427&lt;=4),312,IF(AND(L420="Vermögend und ambulant",D427&gt;1,D427&lt;=2),339,IF(AND(L420="Vermögend und ambulant",D427&gt;0,D427&lt;=1),486,IF(AND(L420="Vermögend und stationär",D427&gt;8,D427&lt;=1000),127,IF(AND(L420="Vermögend und stationär",D427&gt;4,D427&lt;=8),149,IF(AND(L420="Vermögend und stationär",D427&gt;2,D427&lt;=4),229,IF(AND(L420="Vermögend und stationär",D427&gt;1,D427&lt;=2),257,IF(AND(L420="Vermögend und stationär",D427&gt;0,D427&lt;=1),327,IF(AND(L420="Mittellos und ambulant",D427&gt;8,D427&lt;=1000),171,IF(AND(L420="Mittellos und ambulant",D427&gt;4,D427&lt;=8),198,IF(AND(L420="Mittellos und ambulant",D427&gt;2,D427&lt;=4),246,IF(AND(L420="Mittellos und ambulant",D427&gt;1,D427&lt;=2),277,IF(AND(L420="Mittellos und ambulant",D427&gt;0,D427&lt;=1),339,IF(AND(L420="Mittellos und stationär",D427&gt;8,D427&lt;=1000),102,IF(AND(L420="Mittellos und stationär",D427&gt;4,D427&lt;=8),141,IF(AND(L420="Mittellos und stationär",D427&gt;2,D427&lt;=4),202,IF(AND(L420="Mittellos und stationär",D427&gt;1,D427&lt;=2),208,IF(AND(L420="Mittellos und stationär",D427&gt;0,D427&lt;=1),317,""))))))))))))))))))))),"")))*3+(J419*90)</f>
        <v>#NUM!</v>
      </c>
      <c r="M428" s="507" t="str">
        <f>CONCATENATE(K428, K427)</f>
        <v>+Inflat.-P</v>
      </c>
      <c r="N428" s="216"/>
      <c r="O428" s="188"/>
      <c r="P428" s="188"/>
      <c r="Q428" s="217" t="s">
        <v>118</v>
      </c>
      <c r="R428" s="189"/>
      <c r="S428" s="190"/>
      <c r="T428" s="190"/>
      <c r="U428" s="191"/>
      <c r="V428" s="192"/>
      <c r="W428" s="190"/>
      <c r="X428" s="190"/>
      <c r="Y428" s="191"/>
      <c r="Z428" s="192"/>
      <c r="AA428" s="190"/>
      <c r="AB428" s="190"/>
      <c r="AC428" s="191"/>
      <c r="AD428" s="192"/>
      <c r="AE428" s="190" t="s">
        <v>118</v>
      </c>
      <c r="AF428" s="190" t="s">
        <v>117</v>
      </c>
      <c r="AG428" s="191" t="s">
        <v>26</v>
      </c>
      <c r="AH428" s="193"/>
      <c r="AI428" s="190" t="s">
        <v>118</v>
      </c>
      <c r="AJ428" s="190" t="s">
        <v>117</v>
      </c>
      <c r="AK428" s="374" t="s">
        <v>26</v>
      </c>
      <c r="AL428" s="348" t="s">
        <v>151</v>
      </c>
      <c r="AM428" s="354"/>
      <c r="AN428" s="354"/>
      <c r="AO428" s="354"/>
      <c r="AP428" s="354">
        <f>IF(SUM(Q420:Q428)=SUM(AE420:AE428,AI420:AI428), 0, SUM(Q420:Q428)-SUM(AE420:AE428,AI420:AI428))</f>
        <v>0</v>
      </c>
      <c r="AQ428" s="350">
        <f>AM428+AN428+AO428+AP428</f>
        <v>0</v>
      </c>
      <c r="AR428" s="769"/>
      <c r="AS428" s="769"/>
      <c r="AT428" s="769"/>
      <c r="BM428" s="335"/>
    </row>
    <row r="429" spans="1:65" ht="22" customHeight="1">
      <c r="A429" s="181">
        <f t="shared" si="144"/>
        <v>45292</v>
      </c>
      <c r="B429" s="232" t="s">
        <v>74</v>
      </c>
      <c r="C429" s="233" t="s">
        <v>75</v>
      </c>
      <c r="D429" s="234" t="s">
        <v>76</v>
      </c>
      <c r="E429" s="235" t="s">
        <v>11</v>
      </c>
      <c r="F429" s="235" t="s">
        <v>4</v>
      </c>
      <c r="G429" s="235" t="s">
        <v>5</v>
      </c>
      <c r="H429" s="235" t="s">
        <v>6</v>
      </c>
      <c r="I429" s="236" t="s">
        <v>77</v>
      </c>
      <c r="J429" s="306"/>
      <c r="K429" s="501" t="str">
        <f t="shared" si="145"/>
        <v/>
      </c>
      <c r="L429" s="306" t="str">
        <f>IFERROR(VLOOKUP(B430,'Aktuelle Einnahmen'!A2:J104,10,0),"")</f>
        <v/>
      </c>
      <c r="M429" s="510" t="str">
        <f>M419</f>
        <v>Stufe C</v>
      </c>
      <c r="N429" s="237"/>
      <c r="O429" s="238"/>
      <c r="P429" s="238"/>
      <c r="Q429" s="239"/>
      <c r="R429" s="240"/>
      <c r="S429" s="241"/>
      <c r="T429" s="241"/>
      <c r="U429" s="242"/>
      <c r="V429" s="243"/>
      <c r="W429" s="241"/>
      <c r="X429" s="241"/>
      <c r="Y429" s="242"/>
      <c r="Z429" s="243"/>
      <c r="AA429" s="241"/>
      <c r="AB429" s="241"/>
      <c r="AC429" s="242"/>
      <c r="AD429" s="243"/>
      <c r="AE429" s="241"/>
      <c r="AF429" s="241"/>
      <c r="AG429" s="242"/>
      <c r="AH429" s="240"/>
      <c r="AI429" s="241"/>
      <c r="AJ429" s="241"/>
      <c r="AK429" s="377"/>
      <c r="AL429" s="347"/>
      <c r="AM429" s="353"/>
      <c r="AN429" s="353"/>
      <c r="AO429" s="353"/>
      <c r="AP429" s="353"/>
      <c r="AQ429" s="349"/>
      <c r="AR429" s="768"/>
      <c r="AS429" s="768"/>
      <c r="AT429" s="768"/>
      <c r="BM429" s="335"/>
    </row>
    <row r="430" spans="1:65" ht="23" customHeight="1">
      <c r="A430" s="181">
        <f t="shared" si="144"/>
        <v>45292</v>
      </c>
      <c r="B430" s="182">
        <v>43</v>
      </c>
      <c r="C430" s="245">
        <f>IFERROR(VLOOKUP($B430,'Aktuelle Einnahmen'!A2:G104,3,0),"")</f>
        <v>0</v>
      </c>
      <c r="D430" s="246">
        <f>IFERROR(VLOOKUP($B430,'Aktuelle Einnahmen'!A2:G104,2,0),"")</f>
        <v>0</v>
      </c>
      <c r="E430" s="247">
        <f>IFERROR(VLOOKUP($B430,'Aktuelle Einnahmen'!A2:G104,4,0),"")</f>
        <v>0</v>
      </c>
      <c r="F430" s="94">
        <f>IFERROR(VLOOKUP($B430,'Aktuelle Einnahmen'!A2:G104,5,0),"")</f>
        <v>0</v>
      </c>
      <c r="G430" s="94">
        <f>IFERROR(VLOOKUP($B430,'Aktuelle Einnahmen'!A2:G104,6,0),"")</f>
        <v>0</v>
      </c>
      <c r="H430" s="94">
        <f>IFERROR(VLOOKUP($B430,'Aktuelle Einnahmen'!A2:G104,7,0),"")</f>
        <v>0</v>
      </c>
      <c r="I430" s="186" t="e">
        <f>DATE(H430,G430,F430)</f>
        <v>#NUM!</v>
      </c>
      <c r="J430" s="472">
        <f ca="1">J420</f>
        <v>45475</v>
      </c>
      <c r="K430" s="506" t="str">
        <f t="shared" si="145"/>
        <v>+Inflat.-P</v>
      </c>
      <c r="L430" s="1262" t="str">
        <f>IFERROR(VLOOKUP(B430,'Aktuelle Einnahmen'!A12:I114,9,0),"")</f>
        <v>Auswahl treffen</v>
      </c>
      <c r="M430" s="1263"/>
      <c r="N430" s="261"/>
      <c r="O430" s="261"/>
      <c r="P430" s="261"/>
      <c r="Q430" s="261"/>
      <c r="R430" s="189"/>
      <c r="S430" s="190"/>
      <c r="T430" s="190"/>
      <c r="U430" s="191"/>
      <c r="V430" s="192"/>
      <c r="W430" s="190"/>
      <c r="X430" s="190"/>
      <c r="Y430" s="191"/>
      <c r="Z430" s="192"/>
      <c r="AA430" s="190"/>
      <c r="AB430" s="190"/>
      <c r="AC430" s="191"/>
      <c r="AD430" s="192"/>
      <c r="AE430" s="190"/>
      <c r="AF430" s="190"/>
      <c r="AG430" s="191"/>
      <c r="AH430" s="193"/>
      <c r="AI430" s="190"/>
      <c r="AJ430" s="190"/>
      <c r="AK430" s="374"/>
      <c r="AL430" s="348"/>
      <c r="AM430" s="354"/>
      <c r="AN430" s="354"/>
      <c r="AO430" s="354"/>
      <c r="AP430" s="354"/>
      <c r="AQ430" s="350"/>
      <c r="AR430" s="769"/>
      <c r="AS430" s="769"/>
      <c r="AT430" s="769"/>
      <c r="BM430" s="335"/>
    </row>
    <row r="431" spans="1:65" ht="22.25" customHeight="1">
      <c r="A431" s="181">
        <f t="shared" si="144"/>
        <v>45292</v>
      </c>
      <c r="B431" s="484" t="e">
        <f>DAY(I430)</f>
        <v>#NUM!</v>
      </c>
      <c r="C431" s="489" t="s">
        <v>158</v>
      </c>
      <c r="D431" s="520" t="e">
        <f>(I431*4)+J431/3+1</f>
        <v>#NUM!</v>
      </c>
      <c r="E431" s="194" t="e">
        <f>J433+1</f>
        <v>#NUM!</v>
      </c>
      <c r="F431" s="195" t="e">
        <f t="shared" ref="F431:F438" si="155">DAY(E431)</f>
        <v>#NUM!</v>
      </c>
      <c r="G431" s="196" t="e">
        <f t="shared" ref="G431:G438" si="156">MONTH(E431)</f>
        <v>#NUM!</v>
      </c>
      <c r="H431" s="195" t="e">
        <f t="shared" ref="H431:H438" si="157">YEAR(E431)</f>
        <v>#NUM!</v>
      </c>
      <c r="I431" s="197" t="e">
        <f>H431-(H430+2000)</f>
        <v>#NUM!</v>
      </c>
      <c r="J431" s="198" t="e">
        <f>G431-G430</f>
        <v>#NUM!</v>
      </c>
      <c r="K431" s="506" t="str">
        <f>L429</f>
        <v/>
      </c>
      <c r="L431" s="469"/>
      <c r="M431" s="473" t="e">
        <f ca="1">SUM(J430-E432)&amp;" Tage"</f>
        <v>#NUM!</v>
      </c>
      <c r="N431" s="206"/>
      <c r="O431" s="201"/>
      <c r="P431" s="201"/>
      <c r="Q431" s="202"/>
      <c r="R431" s="189"/>
      <c r="S431" s="203"/>
      <c r="T431" s="203"/>
      <c r="U431" s="204"/>
      <c r="V431" s="192"/>
      <c r="W431" s="203"/>
      <c r="X431" s="203"/>
      <c r="Y431" s="204"/>
      <c r="Z431" s="192"/>
      <c r="AA431" s="203"/>
      <c r="AB431" s="203"/>
      <c r="AC431" s="204"/>
      <c r="AD431" s="192"/>
      <c r="AE431" s="203"/>
      <c r="AF431" s="203"/>
      <c r="AG431" s="204"/>
      <c r="AH431" s="193"/>
      <c r="AI431" s="203"/>
      <c r="AJ431" s="203"/>
      <c r="AK431" s="375"/>
      <c r="AL431" s="348"/>
      <c r="AM431" s="354"/>
      <c r="AN431" s="354"/>
      <c r="AO431" s="354"/>
      <c r="AP431" s="354"/>
      <c r="AQ431" s="350"/>
      <c r="AR431" s="769"/>
      <c r="AS431" s="769"/>
      <c r="AT431" s="769"/>
      <c r="BM431" s="335"/>
    </row>
    <row r="432" spans="1:65" ht="22.25" customHeight="1">
      <c r="A432" s="181">
        <f t="shared" si="144"/>
        <v>45292</v>
      </c>
      <c r="B432" s="485"/>
      <c r="C432" s="490"/>
      <c r="D432" s="521"/>
      <c r="E432" s="194" t="e">
        <f>DATE(YEAR(E431),MONTH(E431)+3,DAY(E431)-1)</f>
        <v>#NUM!</v>
      </c>
      <c r="F432" s="195" t="e">
        <f t="shared" si="155"/>
        <v>#NUM!</v>
      </c>
      <c r="G432" s="196" t="e">
        <f t="shared" si="156"/>
        <v>#NUM!</v>
      </c>
      <c r="H432" s="195" t="e">
        <f t="shared" si="157"/>
        <v>#NUM!</v>
      </c>
      <c r="I432" s="244">
        <v>-1</v>
      </c>
      <c r="J432" s="198" t="e">
        <f>F431-F430</f>
        <v>#NUM!</v>
      </c>
      <c r="K432" s="501" t="str">
        <f t="shared" si="145"/>
        <v>+Inflat.-P</v>
      </c>
      <c r="L432" s="511" t="e">
        <f>IF(M429="Stufe A",IF(AND(L430="Auswahl treffen",D431&gt;=0,D431&lt;=1000),J429,IF(AND(L430="Vermögend und ambulant",D431&gt;8,D431&lt;=1000),130,IF(AND(L430="Vermögend und ambulant",D431&gt;4,D431&lt;=8),158,IF(AND(L430="Vermögend und ambulant",D431&gt;2,D431&lt;=4),192,IF(AND(L430="Vermögend und ambulant",D431&gt;1,D431&lt;=2),208,IF(AND(L430="Vermögend und ambulant",D431&gt;0,D431&lt;=1),298,IF(AND(L430="Vermögend und stationär",D431&gt;8,D431&lt;=1000),78,IF(AND(L430="Vermögend und stationär",D431&gt;4,D431&lt;=8),91,IF(AND(L430="Vermögend und stationär",D431&gt;2,D431&lt;=4),140,IF(AND(L430="Vermögend und stationär",D431&gt;1,D431&lt;=2),158,IF(AND(L430="Vermögend und stationär",D431&gt;0,D431&lt;=1),200,IF(AND(L430="Mittellos und ambulant",D431&gt;8,D431&lt;=1000),105,IF(AND(L430="Mittellos und ambulant",D431&gt;4,D431&lt;=8),122,IF(AND(L430="Mittellos und ambulant",D431&gt;2,D431&lt;=4),151,IF(AND(L430="Mittellos und ambulant",D431&gt;1,D431&lt;=2),170,IF(AND(L430="Mittellos und ambulant",D431&gt;0,D431&lt;=1),208,IF(AND(L430="Mittellos und stationär",D431&gt;8,D431&lt;=1000),62,IF(AND(L430="Mittellos und stationär",D431&gt;4,D431&lt;=8),87,IF(AND(L430="Mittellos und stationär",D431&gt;2,D431&lt;=4),124,IF(AND(L430="Mittellos und stationär",D431&gt;1,D431&lt;=2),129,IF(AND(L430="Mittellos und stationär",D431&gt;0,D431&lt;=1),194,""))))))))))))))))))))),IF(M429="Stufe B",IF(AND(L430="Auswahl treffen",D431&gt;=0,D431&lt;=1000),J429,IF(AND(L430="Vermögend und ambulant",D431&gt;8,D431&lt;=1000),161,IF(AND(L430="Vermögend und ambulant",D431&gt;4,D431&lt;=8),196,IF(AND(L430="Vermögend und ambulant",D431&gt;2,D431&lt;=4),238,IF(AND(L430="Vermögend und ambulant",D431&gt;1,D431&lt;=2),258,IF(AND(L430="Vermögend und ambulant",D431&gt;0,D431&lt;=1),370,IF(AND(L430="Vermögend und stationär",D431&gt;8,D431&lt;=1000),96,IF(AND(L430="Vermögend und stationär",D431&gt;4,D431&lt;=8),113,IF(AND(L430="Vermögend und stationär",D431&gt;2,D431&lt;=4),174,IF(AND(L430="Vermögend und stationär",D431&gt;1,D431&lt;=2),196,IF(AND(L430="Vermögend und stationär",D431&gt;0,D431&lt;=1),249,IF(AND(L430="Mittellos und ambulant",D431&gt;8,D431&lt;=1000),130,IF(AND(L430="Mittellos und ambulant",D431&gt;4,D431&lt;=8),151,IF(AND(L430="Mittellos und ambulant",D431&gt;2,D431&lt;=4),188,IF(AND(L430="Mittellos und ambulant",D431&gt;1,D431&lt;=2),211,IF(AND(L430="Mittellos und ambulant",D431&gt;0,D431&lt;=1),258,IF(AND(L430="Mittellos und stationär",D431&gt;8,D431&lt;=1000),78,IF(AND(L430="Mittellos und stationär",D431&gt;4,D431&lt;=8),107,IF(AND(L430="Mittellos und stationär",D431&gt;2,D431&lt;=4),154,IF(AND(L430="Mittellos und stationär",D431&gt;1,D431&lt;=2),158,IF(AND(L430="Mittellos und stationär",D431&gt;0,D431&lt;=1),241,""))))))))))))))))))))),IF(M429="Stufe C",IF(AND(L430="Auswahl treffen",D431&gt;=0,D431&lt;=1000),J429,IF(AND(L430="Vermögend und ambulant",D431&gt;8,D431&lt;=1000),211,IF(AND(L430="Vermögend und ambulant",D431&gt;4,D431&lt;=8),257,IF(AND(L430="Vermögend und ambulant",D431&gt;2,D431&lt;=4),312,IF(AND(L430="Vermögend und ambulant",D431&gt;1,D431&lt;=2),339,IF(AND(L430="Vermögend und ambulant",D431&gt;0,D431&lt;=1),486,IF(AND(L430="Vermögend und stationär",D431&gt;8,D431&lt;=1000),127,IF(AND(L430="Vermögend und stationär",D431&gt;4,D431&lt;=8),149,IF(AND(L430="Vermögend und stationär",D431&gt;2,D431&lt;=4),229,IF(AND(L430="Vermögend und stationär",D431&gt;1,D431&lt;=2),257,IF(AND(L430="Vermögend und stationär",D431&gt;0,D431&lt;=1),327,IF(AND(L430="Mittellos und ambulant",D431&gt;8,D431&lt;=1000),171,IF(AND(L430="Mittellos und ambulant",D431&gt;4,D431&lt;=8),198,IF(AND(L430="Mittellos und ambulant",D431&gt;2,D431&lt;=4),246,IF(AND(L430="Mittellos und ambulant",D431&gt;1,D431&lt;=2),277,IF(AND(L430="Mittellos und ambulant",D431&gt;0,D431&lt;=1),339,IF(AND(L430="Mittellos und stationär",D431&gt;8,D431&lt;=1000),102,IF(AND(L430="Mittellos und stationär",D431&gt;4,D431&lt;=8),141,IF(AND(L430="Mittellos und stationär",D431&gt;2,D431&lt;=4),202,IF(AND(L430="Mittellos und stationär",D431&gt;1,D431&lt;=2),208,IF(AND(L430="Mittellos und stationär",D431&gt;0,D431&lt;=1),317,""))))))))))))))))))))),"")))*3+(J429*90)</f>
        <v>#NUM!</v>
      </c>
      <c r="M432" s="507" t="str">
        <f>CONCATENATE(K432, K431)</f>
        <v>+Inflat.-P</v>
      </c>
      <c r="N432" s="206" t="s">
        <v>118</v>
      </c>
      <c r="O432" s="207"/>
      <c r="P432" s="207"/>
      <c r="Q432" s="208"/>
      <c r="R432" s="187"/>
      <c r="S432" s="209" t="s">
        <v>118</v>
      </c>
      <c r="T432" s="201" t="s">
        <v>117</v>
      </c>
      <c r="U432" s="210" t="s">
        <v>26</v>
      </c>
      <c r="V432" s="192"/>
      <c r="W432" s="203"/>
      <c r="X432" s="203"/>
      <c r="Y432" s="210"/>
      <c r="Z432" s="192"/>
      <c r="AA432" s="203"/>
      <c r="AB432" s="203"/>
      <c r="AC432" s="210"/>
      <c r="AD432" s="192"/>
      <c r="AE432" s="203"/>
      <c r="AF432" s="203"/>
      <c r="AG432" s="210"/>
      <c r="AH432" s="193"/>
      <c r="AI432" s="203"/>
      <c r="AJ432" s="203"/>
      <c r="AK432" s="376"/>
      <c r="AL432" s="348" t="s">
        <v>148</v>
      </c>
      <c r="AM432" s="354">
        <f>IF(SUM(N430:N438)=SUM(S430:S438), 0, SUM(N430:N438)-SUM(S430:S438))</f>
        <v>0</v>
      </c>
      <c r="AN432" s="354"/>
      <c r="AO432" s="354"/>
      <c r="AP432" s="354"/>
      <c r="AQ432" s="350">
        <f>AM432+AN432+AO432+AP432</f>
        <v>0</v>
      </c>
      <c r="AR432" s="769"/>
      <c r="AS432" s="769"/>
      <c r="AT432" s="769"/>
      <c r="BM432" s="335"/>
    </row>
    <row r="433" spans="1:65" ht="22.25" customHeight="1">
      <c r="A433" s="181">
        <f t="shared" si="144"/>
        <v>45292</v>
      </c>
      <c r="B433" s="484" t="e">
        <f>MONTH(I430)</f>
        <v>#NUM!</v>
      </c>
      <c r="C433" s="489" t="s">
        <v>158</v>
      </c>
      <c r="D433" s="522" t="e">
        <f>D431+1</f>
        <v>#NUM!</v>
      </c>
      <c r="E433" s="211" t="e">
        <f>DATE(YEAR(E432),MONTH(E432),DAY(E432)+1)</f>
        <v>#NUM!</v>
      </c>
      <c r="F433" s="212" t="e">
        <f t="shared" si="155"/>
        <v>#NUM!</v>
      </c>
      <c r="G433" s="213" t="e">
        <f t="shared" si="156"/>
        <v>#NUM!</v>
      </c>
      <c r="H433" s="212" t="e">
        <f t="shared" si="157"/>
        <v>#NUM!</v>
      </c>
      <c r="I433" s="214" t="str">
        <f>IF(D430&lt;&gt;0,"-1T","")</f>
        <v/>
      </c>
      <c r="J433" s="215" t="e">
        <f>DATE($B435,I434,$B431)</f>
        <v>#NUM!</v>
      </c>
      <c r="K433" s="506" t="str">
        <f t="shared" si="145"/>
        <v/>
      </c>
      <c r="L433" s="470"/>
      <c r="M433" s="473" t="e">
        <f ca="1">SUM(J430-E434)&amp;" Tage"</f>
        <v>#NUM!</v>
      </c>
      <c r="N433" s="216"/>
      <c r="O433" s="217"/>
      <c r="P433" s="188"/>
      <c r="Q433" s="217"/>
      <c r="R433" s="189"/>
      <c r="S433" s="190"/>
      <c r="T433" s="190"/>
      <c r="U433" s="191"/>
      <c r="V433" s="192"/>
      <c r="W433" s="190"/>
      <c r="X433" s="190"/>
      <c r="Y433" s="191"/>
      <c r="Z433" s="192"/>
      <c r="AA433" s="190"/>
      <c r="AB433" s="190"/>
      <c r="AC433" s="191"/>
      <c r="AD433" s="192"/>
      <c r="AE433" s="190"/>
      <c r="AF433" s="190"/>
      <c r="AG433" s="191"/>
      <c r="AH433" s="193"/>
      <c r="AI433" s="190"/>
      <c r="AJ433" s="190"/>
      <c r="AK433" s="374"/>
      <c r="AL433" s="348"/>
      <c r="AM433" s="354"/>
      <c r="AN433" s="354"/>
      <c r="AO433" s="354"/>
      <c r="AP433" s="354"/>
      <c r="AQ433" s="350"/>
      <c r="AR433" s="769"/>
      <c r="AS433" s="769"/>
      <c r="AT433" s="769"/>
      <c r="BM433" s="335"/>
    </row>
    <row r="434" spans="1:65" ht="22.25" customHeight="1">
      <c r="A434" s="181">
        <f t="shared" si="144"/>
        <v>45292</v>
      </c>
      <c r="B434" s="485"/>
      <c r="C434" s="490"/>
      <c r="D434" s="521"/>
      <c r="E434" s="218" t="e">
        <f>DATE(YEAR(E433),MONTH(E433)+3,DAY(E433)-1)</f>
        <v>#NUM!</v>
      </c>
      <c r="F434" s="212" t="e">
        <f t="shared" si="155"/>
        <v>#NUM!</v>
      </c>
      <c r="G434" s="213" t="e">
        <f t="shared" si="156"/>
        <v>#NUM!</v>
      </c>
      <c r="H434" s="212" t="e">
        <f t="shared" si="157"/>
        <v>#NUM!</v>
      </c>
      <c r="I434" s="219">
        <f>MAX(I435:I438)</f>
        <v>9</v>
      </c>
      <c r="J434" s="220" t="e">
        <f>DATE(YEAR(J433)+1,MONTH(J433),DAY(J433))</f>
        <v>#NUM!</v>
      </c>
      <c r="K434" s="501" t="str">
        <f t="shared" si="145"/>
        <v>+Inflat.-P</v>
      </c>
      <c r="L434" s="508" t="e">
        <f>IF(M429="Stufe A",IF(AND(L430="Auswahl treffen",D433&gt;=0,D433&lt;=1000),J429,IF(AND(L430="Vermögend und ambulant",D433&gt;8,D433&lt;=1000),130,IF(AND(L430="Vermögend und ambulant",D433&gt;4,D433&lt;=8),158,IF(AND(L430="Vermögend und ambulant",D433&gt;2,D433&lt;=4),192,IF(AND(L430="Vermögend und ambulant",D433&gt;1,D433&lt;=2),208,IF(AND(L430="Vermögend und ambulant",D433&gt;0,D433&lt;=1),298,IF(AND(L430="Vermögend und stationär",D433&gt;8,D433&lt;=1000),78,IF(AND(L430="Vermögend und stationär",D433&gt;4,D433&lt;=8),91,IF(AND(L430="Vermögend und stationär",D433&gt;2,D433&lt;=4),140,IF(AND(L430="Vermögend und stationär",D433&gt;1,D433&lt;=2),158,IF(AND(L430="Vermögend und stationär",D433&gt;0,D433&lt;=1),200,IF(AND(L430="Mittellos und ambulant",D433&gt;8,D433&lt;=1000),105,IF(AND(L430="Mittellos und ambulant",D433&gt;4,D433&lt;=8),122,IF(AND(L430="Mittellos und ambulant",D433&gt;2,D433&lt;=4),151,IF(AND(L430="Mittellos und ambulant",D433&gt;1,D433&lt;=2),170,IF(AND(L430="Mittellos und ambulant",D433&gt;0,D433&lt;=1),208,IF(AND(L430="Mittellos und stationär",D433&gt;8,D433&lt;=1000),62,IF(AND(L430="Mittellos und stationär",D433&gt;4,D433&lt;=8),87,IF(AND(L430="Mittellos und stationär",D433&gt;2,D433&lt;=4),124,IF(AND(L430="Mittellos und stationär",D433&gt;1,D433&lt;=2),129,IF(AND(L430="Mittellos und stationär",D433&gt;0,D433&lt;=1),194,""))))))))))))))))))))),IF(M429="Stufe B",IF(AND(L430="Auswahl treffen",D433&gt;=0,D433&lt;=1000),J429,IF(AND(L430="Vermögend und ambulant",D433&gt;8,D433&lt;=1000),161,IF(AND(L430="Vermögend und ambulant",D433&gt;4,D433&lt;=8),196,IF(AND(L430="Vermögend und ambulant",D433&gt;2,D433&lt;=4),238,IF(AND(L430="Vermögend und ambulant",D433&gt;1,D433&lt;=2),258,IF(AND(L430="Vermögend und ambulant",D433&gt;0,D433&lt;=1),370,IF(AND(L430="Vermögend und stationär",D433&gt;8,D433&lt;=1000),96,IF(AND(L430="Vermögend und stationär",D433&gt;4,D433&lt;=8),113,IF(AND(L430="Vermögend und stationär",D433&gt;2,D433&lt;=4),174,IF(AND(L430="Vermögend und stationär",D433&gt;1,D433&lt;=2),196,IF(AND(L430="Vermögend und stationär",D433&gt;0,D433&lt;=1),249,IF(AND(L430="Mittellos und ambulant",D433&gt;8,D433&lt;=1000),130,IF(AND(L430="Mittellos und ambulant",D433&gt;4,D433&lt;=8),151,IF(AND(L430="Mittellos und ambulant",D433&gt;2,D433&lt;=4),188,IF(AND(L430="Mittellos und ambulant",D433&gt;1,D433&lt;=2),211,IF(AND(L430="Mittellos und ambulant",D433&gt;0,D433&lt;=1),258,IF(AND(L430="Mittellos und stationär",D433&gt;8,D433&lt;=1000),78,IF(AND(L430="Mittellos und stationär",D433&gt;4,D433&lt;=8),107,IF(AND(L430="Mittellos und stationär",D433&gt;2,D433&lt;=4),154,IF(AND(L430="Mittellos und stationär",D433&gt;1,D433&lt;=2),158,IF(AND(L430="Mittellos und stationär",D433&gt;0,D433&lt;=1),241,""))))))))))))))))))))),IF(M429="Stufe C",IF(AND(L430="Auswahl treffen",D433&gt;=0,D433&lt;=1000),J429,IF(AND(L430="Vermögend und ambulant",D433&gt;8,D433&lt;=1000),211,IF(AND(L430="Vermögend und ambulant",D433&gt;4,D433&lt;=8),257,IF(AND(L430="Vermögend und ambulant",D433&gt;2,D433&lt;=4),312,IF(AND(L430="Vermögend und ambulant",D433&gt;1,D433&lt;=2),339,IF(AND(L430="Vermögend und ambulant",D433&gt;0,D433&lt;=1),486,IF(AND(L430="Vermögend und stationär",D433&gt;8,D433&lt;=1000),127,IF(AND(L430="Vermögend und stationär",D433&gt;4,D433&lt;=8),149,IF(AND(L430="Vermögend und stationär",D433&gt;2,D433&lt;=4),229,IF(AND(L430="Vermögend und stationär",D433&gt;1,D433&lt;=2),257,IF(AND(L430="Vermögend und stationär",D433&gt;0,D433&lt;=1),327,IF(AND(L430="Mittellos und ambulant",D433&gt;8,D433&lt;=1000),171,IF(AND(L430="Mittellos und ambulant",D433&gt;4,D433&lt;=8),198,IF(AND(L430="Mittellos und ambulant",D433&gt;2,D433&lt;=4),246,IF(AND(L430="Mittellos und ambulant",D433&gt;1,D433&lt;=2),277,IF(AND(L430="Mittellos und ambulant",D433&gt;0,D433&lt;=1),339,IF(AND(L430="Mittellos und stationär",D433&gt;8,D433&lt;=1000),102,IF(AND(L430="Mittellos und stationär",D433&gt;4,D433&lt;=8),141,IF(AND(L430="Mittellos und stationär",D433&gt;2,D433&lt;=4),202,IF(AND(L430="Mittellos und stationär",D433&gt;1,D433&lt;=2),208,IF(AND(L430="Mittellos und stationär",D433&gt;0,D433&lt;=1),317,""))))))))))))))))))))),"")))*3+(J429*90)</f>
        <v>#NUM!</v>
      </c>
      <c r="M434" s="507" t="str">
        <f>CONCATENATE(K434, K433)</f>
        <v>+Inflat.-P</v>
      </c>
      <c r="N434" s="216"/>
      <c r="O434" s="188" t="s">
        <v>118</v>
      </c>
      <c r="P434" s="188"/>
      <c r="Q434" s="221"/>
      <c r="R434" s="199"/>
      <c r="S434" s="190"/>
      <c r="T434" s="190"/>
      <c r="U434" s="191"/>
      <c r="V434" s="192"/>
      <c r="W434" s="222" t="s">
        <v>118</v>
      </c>
      <c r="X434" s="222" t="s">
        <v>117</v>
      </c>
      <c r="Y434" s="191" t="s">
        <v>26</v>
      </c>
      <c r="Z434" s="192"/>
      <c r="AA434" s="190"/>
      <c r="AB434" s="190"/>
      <c r="AC434" s="191"/>
      <c r="AD434" s="192"/>
      <c r="AE434" s="190"/>
      <c r="AF434" s="190"/>
      <c r="AG434" s="191"/>
      <c r="AH434" s="193"/>
      <c r="AI434" s="190"/>
      <c r="AJ434" s="190"/>
      <c r="AK434" s="374"/>
      <c r="AL434" s="348" t="s">
        <v>149</v>
      </c>
      <c r="AM434" s="354"/>
      <c r="AN434" s="354">
        <f>IF(SUM(O430:O438)=SUM(W430:W438), 0, SUM(O430:O438)-SUM(W430:W438))</f>
        <v>0</v>
      </c>
      <c r="AO434" s="354"/>
      <c r="AP434" s="354"/>
      <c r="AQ434" s="350">
        <f>AM434+AN434+AO434+AP434</f>
        <v>0</v>
      </c>
      <c r="AR434" s="769"/>
      <c r="AS434" s="769"/>
      <c r="AT434" s="769"/>
      <c r="BM434" s="335"/>
    </row>
    <row r="435" spans="1:65" ht="22.25" customHeight="1">
      <c r="A435" s="181">
        <f t="shared" si="144"/>
        <v>45292</v>
      </c>
      <c r="B435" s="484">
        <f>YEAR($A436)-1</f>
        <v>2023</v>
      </c>
      <c r="C435" s="489" t="s">
        <v>158</v>
      </c>
      <c r="D435" s="520" t="e">
        <f>D433+1</f>
        <v>#NUM!</v>
      </c>
      <c r="E435" s="194" t="e">
        <f>DATE(YEAR(E434),MONTH(E434),DAY(E434)+1)</f>
        <v>#NUM!</v>
      </c>
      <c r="F435" s="195" t="e">
        <f t="shared" si="155"/>
        <v>#NUM!</v>
      </c>
      <c r="G435" s="196" t="e">
        <f t="shared" si="156"/>
        <v>#NUM!</v>
      </c>
      <c r="H435" s="195" t="e">
        <f t="shared" si="157"/>
        <v>#NUM!</v>
      </c>
      <c r="I435" s="197">
        <f>IF(J437&lt;13,J437,"")</f>
        <v>9</v>
      </c>
      <c r="J435" s="224">
        <f>G430</f>
        <v>0</v>
      </c>
      <c r="K435" s="506" t="str">
        <f t="shared" si="145"/>
        <v/>
      </c>
      <c r="L435" s="471"/>
      <c r="M435" s="473" t="e">
        <f ca="1">SUM(J430-E436)&amp;" Tage"</f>
        <v>#NUM!</v>
      </c>
      <c r="N435" s="200"/>
      <c r="O435" s="201"/>
      <c r="P435" s="201"/>
      <c r="Q435" s="202"/>
      <c r="R435" s="189"/>
      <c r="S435" s="203"/>
      <c r="T435" s="203"/>
      <c r="U435" s="204"/>
      <c r="V435" s="192"/>
      <c r="W435" s="203"/>
      <c r="X435" s="203"/>
      <c r="Y435" s="204"/>
      <c r="Z435" s="192"/>
      <c r="AA435" s="203"/>
      <c r="AB435" s="203"/>
      <c r="AC435" s="204"/>
      <c r="AD435" s="192"/>
      <c r="AE435" s="203"/>
      <c r="AF435" s="203"/>
      <c r="AG435" s="204"/>
      <c r="AH435" s="193"/>
      <c r="AI435" s="203"/>
      <c r="AJ435" s="203"/>
      <c r="AK435" s="375"/>
      <c r="AL435" s="348"/>
      <c r="AM435" s="354"/>
      <c r="AN435" s="354"/>
      <c r="AO435" s="354"/>
      <c r="AP435" s="354"/>
      <c r="AQ435" s="350"/>
      <c r="AR435" s="769"/>
      <c r="AS435" s="769"/>
      <c r="AT435" s="769"/>
      <c r="BM435" s="335"/>
    </row>
    <row r="436" spans="1:65" ht="22.25" customHeight="1">
      <c r="A436" s="181">
        <f t="shared" si="144"/>
        <v>45292</v>
      </c>
      <c r="B436" s="485"/>
      <c r="C436" s="490"/>
      <c r="D436" s="521"/>
      <c r="E436" s="194" t="e">
        <f>DATE(YEAR(E435),MONTH(E435)+3,DAY(E435)-1)</f>
        <v>#NUM!</v>
      </c>
      <c r="F436" s="195" t="e">
        <f t="shared" si="155"/>
        <v>#NUM!</v>
      </c>
      <c r="G436" s="196" t="e">
        <f t="shared" si="156"/>
        <v>#NUM!</v>
      </c>
      <c r="H436" s="195" t="e">
        <f t="shared" si="157"/>
        <v>#NUM!</v>
      </c>
      <c r="I436" s="244">
        <f>IF(J438&lt;13,J438,"")</f>
        <v>6</v>
      </c>
      <c r="J436" s="224">
        <f>J435+3</f>
        <v>3</v>
      </c>
      <c r="K436" s="501" t="str">
        <f t="shared" si="145"/>
        <v>+Inflat.-P</v>
      </c>
      <c r="L436" s="511" t="e">
        <f>IF(M429="Stufe A",IF(AND(L430="Auswahl treffen",D435&gt;=0,D435&lt;=1000),J429,IF(AND(L430="Vermögend und ambulant",D435&gt;8,D435&lt;=1000),130,IF(AND(L430="Vermögend und ambulant",D435&gt;4,D435&lt;=8),158,IF(AND(L430="Vermögend und ambulant",D435&gt;2,D435&lt;=4),192,IF(AND(L430="Vermögend und ambulant",D435&gt;1,D435&lt;=2),208,IF(AND(L430="Vermögend und ambulant",D435&gt;0,D435&lt;=1),298,IF(AND(L430="Vermögend und stationär",D435&gt;8,D435&lt;=1000),78,IF(AND(L430="Vermögend und stationär",D435&gt;4,D435&lt;=8),91,IF(AND(L430="Vermögend und stationär",D435&gt;2,D435&lt;=4),140,IF(AND(L430="Vermögend und stationär",D435&gt;1,D435&lt;=2),158,IF(AND(L430="Vermögend und stationär",D435&gt;0,D435&lt;=1),200,IF(AND(L430="Mittellos und ambulant",D435&gt;8,D435&lt;=1000),105,IF(AND(L430="Mittellos und ambulant",D435&gt;4,D435&lt;=8),122,IF(AND(L430="Mittellos und ambulant",D435&gt;2,D435&lt;=4),151,IF(AND(L430="Mittellos und ambulant",D435&gt;1,D435&lt;=2),170,IF(AND(L430="Mittellos und ambulant",D435&gt;0,D435&lt;=1),208,IF(AND(L430="Mittellos und stationär",D435&gt;8,D435&lt;=1000),62,IF(AND(L430="Mittellos und stationär",D435&gt;4,D435&lt;=8),87,IF(AND(L430="Mittellos und stationär",D435&gt;2,D435&lt;=4),124,IF(AND(L430="Mittellos und stationär",D435&gt;1,D435&lt;=2),129,IF(AND(L430="Mittellos und stationär",D435&gt;0,D435&lt;=1),194,""))))))))))))))))))))),IF(M429="Stufe B",IF(AND(L430="Auswahl treffen",D435&gt;=0,D435&lt;=1000),J429,IF(AND(L430="Vermögend und ambulant",D435&gt;8,D435&lt;=1000),161,IF(AND(L430="Vermögend und ambulant",D435&gt;4,D435&lt;=8),196,IF(AND(L430="Vermögend und ambulant",D435&gt;2,D435&lt;=4),238,IF(AND(L430="Vermögend und ambulant",D435&gt;1,D435&lt;=2),258,IF(AND(L430="Vermögend und ambulant",D435&gt;0,D435&lt;=1),370,IF(AND(L430="Vermögend und stationär",D435&gt;8,D435&lt;=1000),96,IF(AND(L430="Vermögend und stationär",D435&gt;4,D435&lt;=8),113,IF(AND(L430="Vermögend und stationär",D435&gt;2,D435&lt;=4),174,IF(AND(L430="Vermögend und stationär",D435&gt;1,D435&lt;=2),196,IF(AND(L430="Vermögend und stationär",D435&gt;0,D435&lt;=1),249,IF(AND(L430="Mittellos und ambulant",D435&gt;8,D435&lt;=1000),130,IF(AND(L430="Mittellos und ambulant",D435&gt;4,D435&lt;=8),151,IF(AND(L430="Mittellos und ambulant",D435&gt;2,D435&lt;=4),188,IF(AND(L430="Mittellos und ambulant",D435&gt;1,D435&lt;=2),211,IF(AND(L430="Mittellos und ambulant",D435&gt;0,D435&lt;=1),258,IF(AND(L430="Mittellos und stationär",D435&gt;8,D435&lt;=1000),78,IF(AND(L430="Mittellos und stationär",D435&gt;4,D435&lt;=8),107,IF(AND(L430="Mittellos und stationär",D435&gt;2,D435&lt;=4),154,IF(AND(L430="Mittellos und stationär",D435&gt;1,D435&lt;=2),158,IF(AND(L430="Mittellos und stationär",D435&gt;0,D435&lt;=1),241,""))))))))))))))))))))),IF(M429="Stufe C",IF(AND(L430="Auswahl treffen",D435&gt;=0,D435&lt;=1000),J429,IF(AND(L430="Vermögend und ambulant",D435&gt;8,D435&lt;=1000),211,IF(AND(L430="Vermögend und ambulant",D435&gt;4,D435&lt;=8),257,IF(AND(L430="Vermögend und ambulant",D435&gt;2,D435&lt;=4),312,IF(AND(L430="Vermögend und ambulant",D435&gt;1,D435&lt;=2),339,IF(AND(L430="Vermögend und ambulant",D435&gt;0,D435&lt;=1),486,IF(AND(L430="Vermögend und stationär",D435&gt;8,D435&lt;=1000),127,IF(AND(L430="Vermögend und stationär",D435&gt;4,D435&lt;=8),149,IF(AND(L430="Vermögend und stationär",D435&gt;2,D435&lt;=4),229,IF(AND(L430="Vermögend und stationär",D435&gt;1,D435&lt;=2),257,IF(AND(L430="Vermögend und stationär",D435&gt;0,D435&lt;=1),327,IF(AND(L430="Mittellos und ambulant",D435&gt;8,D435&lt;=1000),171,IF(AND(L430="Mittellos und ambulant",D435&gt;4,D435&lt;=8),198,IF(AND(L430="Mittellos und ambulant",D435&gt;2,D435&lt;=4),246,IF(AND(L430="Mittellos und ambulant",D435&gt;1,D435&lt;=2),277,IF(AND(L430="Mittellos und ambulant",D435&gt;0,D435&lt;=1),339,IF(AND(L430="Mittellos und stationär",D435&gt;8,D435&lt;=1000),102,IF(AND(L430="Mittellos und stationär",D435&gt;4,D435&lt;=8),141,IF(AND(L430="Mittellos und stationär",D435&gt;2,D435&lt;=4),202,IF(AND(L430="Mittellos und stationär",D435&gt;1,D435&lt;=2),208,IF(AND(L430="Mittellos und stationär",D435&gt;0,D435&lt;=1),317,""))))))))))))))))))))),"")))*3+(J429*90)</f>
        <v>#NUM!</v>
      </c>
      <c r="M436" s="507" t="str">
        <f>CONCATENATE(K436, K435)</f>
        <v>+Inflat.-P</v>
      </c>
      <c r="N436" s="206"/>
      <c r="O436" s="207"/>
      <c r="P436" s="206" t="s">
        <v>118</v>
      </c>
      <c r="Q436" s="226"/>
      <c r="R436" s="189"/>
      <c r="S436" s="203"/>
      <c r="T436" s="203"/>
      <c r="U436" s="204"/>
      <c r="V436" s="192"/>
      <c r="W436" s="203"/>
      <c r="X436" s="203"/>
      <c r="Y436" s="204"/>
      <c r="Z436" s="192"/>
      <c r="AA436" s="209" t="s">
        <v>118</v>
      </c>
      <c r="AB436" s="209" t="s">
        <v>117</v>
      </c>
      <c r="AC436" s="204" t="s">
        <v>26</v>
      </c>
      <c r="AD436" s="192"/>
      <c r="AE436" s="203"/>
      <c r="AF436" s="203"/>
      <c r="AG436" s="204"/>
      <c r="AH436" s="193"/>
      <c r="AI436" s="203"/>
      <c r="AJ436" s="203"/>
      <c r="AK436" s="375"/>
      <c r="AL436" s="348" t="s">
        <v>150</v>
      </c>
      <c r="AM436" s="354"/>
      <c r="AN436" s="354"/>
      <c r="AO436" s="354">
        <f>IF(SUM(P430:P438)=SUM(AA430:AA438), 0, SUM(P430:P438)-SUM(AA430:AA438))</f>
        <v>0</v>
      </c>
      <c r="AP436" s="354"/>
      <c r="AQ436" s="350">
        <f>AM436+AN436+AO436+AP436</f>
        <v>0</v>
      </c>
      <c r="AR436" s="769"/>
      <c r="AS436" s="769"/>
      <c r="AT436" s="769"/>
      <c r="BM436" s="335"/>
    </row>
    <row r="437" spans="1:65" ht="22.25" customHeight="1">
      <c r="A437" s="181">
        <f t="shared" si="144"/>
        <v>45292</v>
      </c>
      <c r="B437" s="486"/>
      <c r="C437" s="489" t="s">
        <v>158</v>
      </c>
      <c r="D437" s="522" t="e">
        <f>D435+1</f>
        <v>#NUM!</v>
      </c>
      <c r="E437" s="211" t="e">
        <f>DATE(YEAR(E436),MONTH(E436),DAY(E436)+1)</f>
        <v>#NUM!</v>
      </c>
      <c r="F437" s="227" t="e">
        <f t="shared" si="155"/>
        <v>#NUM!</v>
      </c>
      <c r="G437" s="228" t="e">
        <f t="shared" si="156"/>
        <v>#NUM!</v>
      </c>
      <c r="H437" s="227" t="e">
        <f t="shared" si="157"/>
        <v>#NUM!</v>
      </c>
      <c r="I437" s="231">
        <f>IF(J436&lt;13,J436,"")</f>
        <v>3</v>
      </c>
      <c r="J437" s="230">
        <f>J438+3</f>
        <v>9</v>
      </c>
      <c r="K437" s="506" t="str">
        <f t="shared" si="145"/>
        <v/>
      </c>
      <c r="L437" s="471"/>
      <c r="M437" s="473" t="e">
        <f ca="1">SUM(J430-E438)&amp;" Tage"</f>
        <v>#NUM!</v>
      </c>
      <c r="N437" s="216"/>
      <c r="O437" s="188"/>
      <c r="P437" s="188"/>
      <c r="Q437" s="217"/>
      <c r="R437" s="189"/>
      <c r="S437" s="190"/>
      <c r="T437" s="190"/>
      <c r="U437" s="191"/>
      <c r="V437" s="192"/>
      <c r="W437" s="190"/>
      <c r="X437" s="190"/>
      <c r="Y437" s="191"/>
      <c r="Z437" s="192"/>
      <c r="AA437" s="190"/>
      <c r="AB437" s="190"/>
      <c r="AC437" s="191"/>
      <c r="AD437" s="192"/>
      <c r="AE437" s="190"/>
      <c r="AF437" s="190"/>
      <c r="AG437" s="191"/>
      <c r="AH437" s="193"/>
      <c r="AI437" s="190"/>
      <c r="AJ437" s="190"/>
      <c r="AK437" s="374"/>
      <c r="AL437" s="348"/>
      <c r="AM437" s="354"/>
      <c r="AN437" s="354"/>
      <c r="AO437" s="354"/>
      <c r="AP437" s="354"/>
      <c r="AQ437" s="350"/>
      <c r="AR437" s="769"/>
      <c r="AS437" s="769"/>
      <c r="AT437" s="769"/>
      <c r="BM437" s="335"/>
    </row>
    <row r="438" spans="1:65" ht="22.25" customHeight="1">
      <c r="A438" s="181">
        <f t="shared" si="144"/>
        <v>45292</v>
      </c>
      <c r="B438" s="485"/>
      <c r="C438" s="490"/>
      <c r="D438" s="521"/>
      <c r="E438" s="218" t="e">
        <f>DATE(YEAR(E437),MONTH(E437)+3,DAY(E437)-1)</f>
        <v>#NUM!</v>
      </c>
      <c r="F438" s="227" t="e">
        <f t="shared" si="155"/>
        <v>#NUM!</v>
      </c>
      <c r="G438" s="228" t="e">
        <f t="shared" si="156"/>
        <v>#NUM!</v>
      </c>
      <c r="H438" s="227" t="e">
        <f t="shared" si="157"/>
        <v>#NUM!</v>
      </c>
      <c r="I438" s="231">
        <f>IF(J435&lt;13,J435,"")</f>
        <v>0</v>
      </c>
      <c r="J438" s="230">
        <f>J436+3</f>
        <v>6</v>
      </c>
      <c r="K438" s="501" t="str">
        <f t="shared" si="145"/>
        <v>+Inflat.-P</v>
      </c>
      <c r="L438" s="508" t="e">
        <f>IF(M429="Stufe A",IF(AND(L430="Auswahl treffen",D437&gt;=0,D437&lt;=1000),J429,IF(AND(L430="Vermögend und ambulant",D437&gt;8,D437&lt;=1000),130,IF(AND(L430="Vermögend und ambulant",D437&gt;4,D437&lt;=8),158,IF(AND(L430="Vermögend und ambulant",D437&gt;2,D437&lt;=4),192,IF(AND(L430="Vermögend und ambulant",D437&gt;1,D437&lt;=2),208,IF(AND(L430="Vermögend und ambulant",D437&gt;0,D437&lt;=1),298,IF(AND(L430="Vermögend und stationär",D437&gt;8,D437&lt;=1000),78,IF(AND(L430="Vermögend und stationär",D437&gt;4,D437&lt;=8),91,IF(AND(L430="Vermögend und stationär",D437&gt;2,D437&lt;=4),140,IF(AND(L430="Vermögend und stationär",D437&gt;1,D437&lt;=2),158,IF(AND(L430="Vermögend und stationär",D437&gt;0,D437&lt;=1),200,IF(AND(L430="Mittellos und ambulant",D437&gt;8,D437&lt;=1000),105,IF(AND(L430="Mittellos und ambulant",D437&gt;4,D437&lt;=8),122,IF(AND(L430="Mittellos und ambulant",D437&gt;2,D437&lt;=4),151,IF(AND(L430="Mittellos und ambulant",D437&gt;1,D437&lt;=2),170,IF(AND(L430="Mittellos und ambulant",D437&gt;0,D437&lt;=1),208,IF(AND(L430="Mittellos und stationär",D437&gt;8,D437&lt;=1000),62,IF(AND(L430="Mittellos und stationär",D437&gt;4,D437&lt;=8),87,IF(AND(L430="Mittellos und stationär",D437&gt;2,D437&lt;=4),124,IF(AND(L430="Mittellos und stationär",D437&gt;1,D437&lt;=2),129,IF(AND(L430="Mittellos und stationär",D437&gt;0,D437&lt;=1),194,""))))))))))))))))))))),IF(M429="Stufe B",IF(AND(L430="Auswahl treffen",D437&gt;=0,D437&lt;=1000),J429,IF(AND(L430="Vermögend und ambulant",D437&gt;8,D437&lt;=1000),161,IF(AND(L430="Vermögend und ambulant",D437&gt;4,D437&lt;=8),196,IF(AND(L430="Vermögend und ambulant",D437&gt;2,D437&lt;=4),238,IF(AND(L430="Vermögend und ambulant",D437&gt;1,D437&lt;=2),258,IF(AND(L430="Vermögend und ambulant",D437&gt;0,D437&lt;=1),370,IF(AND(L430="Vermögend und stationär",D437&gt;8,D437&lt;=1000),96,IF(AND(L430="Vermögend und stationär",D437&gt;4,D437&lt;=8),113,IF(AND(L430="Vermögend und stationär",D437&gt;2,D437&lt;=4),174,IF(AND(L430="Vermögend und stationär",D437&gt;1,D437&lt;=2),196,IF(AND(L430="Vermögend und stationär",D437&gt;0,D437&lt;=1),249,IF(AND(L430="Mittellos und ambulant",D437&gt;8,D437&lt;=1000),130,IF(AND(L430="Mittellos und ambulant",D437&gt;4,D437&lt;=8),151,IF(AND(L430="Mittellos und ambulant",D437&gt;2,D437&lt;=4),188,IF(AND(L430="Mittellos und ambulant",D437&gt;1,D437&lt;=2),211,IF(AND(L430="Mittellos und ambulant",D437&gt;0,D437&lt;=1),258,IF(AND(L430="Mittellos und stationär",D437&gt;8,D437&lt;=1000),78,IF(AND(L430="Mittellos und stationär",D437&gt;4,D437&lt;=8),107,IF(AND(L430="Mittellos und stationär",D437&gt;2,D437&lt;=4),154,IF(AND(L430="Mittellos und stationär",D437&gt;1,D437&lt;=2),158,IF(AND(L430="Mittellos und stationär",D437&gt;0,D437&lt;=1),241,""))))))))))))))))))))),IF(M429="Stufe C",IF(AND(L430="Auswahl treffen",D437&gt;=0,D437&lt;=1000),J429,IF(AND(L430="Vermögend und ambulant",D437&gt;8,D437&lt;=1000),211,IF(AND(L430="Vermögend und ambulant",D437&gt;4,D437&lt;=8),257,IF(AND(L430="Vermögend und ambulant",D437&gt;2,D437&lt;=4),312,IF(AND(L430="Vermögend und ambulant",D437&gt;1,D437&lt;=2),339,IF(AND(L430="Vermögend und ambulant",D437&gt;0,D437&lt;=1),486,IF(AND(L430="Vermögend und stationär",D437&gt;8,D437&lt;=1000),127,IF(AND(L430="Vermögend und stationär",D437&gt;4,D437&lt;=8),149,IF(AND(L430="Vermögend und stationär",D437&gt;2,D437&lt;=4),229,IF(AND(L430="Vermögend und stationär",D437&gt;1,D437&lt;=2),257,IF(AND(L430="Vermögend und stationär",D437&gt;0,D437&lt;=1),327,IF(AND(L430="Mittellos und ambulant",D437&gt;8,D437&lt;=1000),171,IF(AND(L430="Mittellos und ambulant",D437&gt;4,D437&lt;=8),198,IF(AND(L430="Mittellos und ambulant",D437&gt;2,D437&lt;=4),246,IF(AND(L430="Mittellos und ambulant",D437&gt;1,D437&lt;=2),277,IF(AND(L430="Mittellos und ambulant",D437&gt;0,D437&lt;=1),339,IF(AND(L430="Mittellos und stationär",D437&gt;8,D437&lt;=1000),102,IF(AND(L430="Mittellos und stationär",D437&gt;4,D437&lt;=8),141,IF(AND(L430="Mittellos und stationär",D437&gt;2,D437&lt;=4),202,IF(AND(L430="Mittellos und stationär",D437&gt;1,D437&lt;=2),208,IF(AND(L430="Mittellos und stationär",D437&gt;0,D437&lt;=1),317,""))))))))))))))))))))),"")))*3+(J429*90)</f>
        <v>#NUM!</v>
      </c>
      <c r="M438" s="507" t="str">
        <f>CONCATENATE(K438, K437)</f>
        <v>+Inflat.-P</v>
      </c>
      <c r="N438" s="216"/>
      <c r="O438" s="188"/>
      <c r="P438" s="188"/>
      <c r="Q438" s="217" t="s">
        <v>118</v>
      </c>
      <c r="R438" s="189"/>
      <c r="S438" s="190"/>
      <c r="T438" s="190"/>
      <c r="U438" s="191"/>
      <c r="V438" s="192"/>
      <c r="W438" s="190"/>
      <c r="X438" s="190"/>
      <c r="Y438" s="191"/>
      <c r="Z438" s="192"/>
      <c r="AA438" s="190"/>
      <c r="AB438" s="190"/>
      <c r="AC438" s="191"/>
      <c r="AD438" s="192"/>
      <c r="AE438" s="190" t="s">
        <v>118</v>
      </c>
      <c r="AF438" s="190" t="s">
        <v>117</v>
      </c>
      <c r="AG438" s="191" t="s">
        <v>26</v>
      </c>
      <c r="AH438" s="193"/>
      <c r="AI438" s="190" t="s">
        <v>118</v>
      </c>
      <c r="AJ438" s="190" t="s">
        <v>117</v>
      </c>
      <c r="AK438" s="374" t="s">
        <v>26</v>
      </c>
      <c r="AL438" s="348" t="s">
        <v>151</v>
      </c>
      <c r="AM438" s="354"/>
      <c r="AN438" s="354"/>
      <c r="AO438" s="354"/>
      <c r="AP438" s="354">
        <f>IF(SUM(Q430:Q438)=SUM(AE430:AE438,AI430:AI438), 0, SUM(Q430:Q438)-SUM(AE430:AE438,AI430:AI438))</f>
        <v>0</v>
      </c>
      <c r="AQ438" s="350">
        <f>AM438+AN438+AO438+AP438</f>
        <v>0</v>
      </c>
      <c r="AR438" s="769"/>
      <c r="AS438" s="769"/>
      <c r="AT438" s="769"/>
      <c r="BM438" s="335"/>
    </row>
    <row r="439" spans="1:65" ht="22" customHeight="1">
      <c r="A439" s="181">
        <f t="shared" si="144"/>
        <v>45292</v>
      </c>
      <c r="B439" s="232" t="s">
        <v>74</v>
      </c>
      <c r="C439" s="233" t="s">
        <v>75</v>
      </c>
      <c r="D439" s="234" t="s">
        <v>76</v>
      </c>
      <c r="E439" s="235" t="s">
        <v>11</v>
      </c>
      <c r="F439" s="235" t="s">
        <v>4</v>
      </c>
      <c r="G439" s="235" t="s">
        <v>5</v>
      </c>
      <c r="H439" s="235" t="s">
        <v>6</v>
      </c>
      <c r="I439" s="236" t="s">
        <v>77</v>
      </c>
      <c r="J439" s="306"/>
      <c r="K439" s="501" t="str">
        <f t="shared" si="145"/>
        <v/>
      </c>
      <c r="L439" s="306" t="str">
        <f>IFERROR(VLOOKUP(B440,'Aktuelle Einnahmen'!A2:J104,10,0),"")</f>
        <v/>
      </c>
      <c r="M439" s="510" t="str">
        <f>M429</f>
        <v>Stufe C</v>
      </c>
      <c r="N439" s="237"/>
      <c r="O439" s="238"/>
      <c r="P439" s="238"/>
      <c r="Q439" s="239"/>
      <c r="R439" s="240"/>
      <c r="S439" s="241"/>
      <c r="T439" s="241"/>
      <c r="U439" s="242"/>
      <c r="V439" s="243"/>
      <c r="W439" s="241"/>
      <c r="X439" s="241"/>
      <c r="Y439" s="242"/>
      <c r="Z439" s="243"/>
      <c r="AA439" s="241"/>
      <c r="AB439" s="241"/>
      <c r="AC439" s="242"/>
      <c r="AD439" s="243"/>
      <c r="AE439" s="241"/>
      <c r="AF439" s="241"/>
      <c r="AG439" s="242"/>
      <c r="AH439" s="240"/>
      <c r="AI439" s="241"/>
      <c r="AJ439" s="241"/>
      <c r="AK439" s="377"/>
      <c r="AL439" s="347"/>
      <c r="AM439" s="353"/>
      <c r="AN439" s="353"/>
      <c r="AO439" s="353"/>
      <c r="AP439" s="353"/>
      <c r="AQ439" s="349"/>
      <c r="AR439" s="768"/>
      <c r="AS439" s="768"/>
      <c r="AT439" s="768"/>
      <c r="BM439" s="335"/>
    </row>
    <row r="440" spans="1:65" ht="23" customHeight="1">
      <c r="A440" s="181">
        <f t="shared" si="144"/>
        <v>45292</v>
      </c>
      <c r="B440" s="182">
        <v>44</v>
      </c>
      <c r="C440" s="245">
        <f>IFERROR(VLOOKUP($B440,'Aktuelle Einnahmen'!A2:G104,3,0),"")</f>
        <v>0</v>
      </c>
      <c r="D440" s="246">
        <f>IFERROR(VLOOKUP($B440,'Aktuelle Einnahmen'!A2:G104,2,0),"")</f>
        <v>0</v>
      </c>
      <c r="E440" s="247">
        <f>IFERROR(VLOOKUP($B440,'Aktuelle Einnahmen'!A2:G104,4,0),"")</f>
        <v>0</v>
      </c>
      <c r="F440" s="94">
        <f>IFERROR(VLOOKUP($B440,'Aktuelle Einnahmen'!A2:G104,5,0),"")</f>
        <v>0</v>
      </c>
      <c r="G440" s="94">
        <f>IFERROR(VLOOKUP($B440,'Aktuelle Einnahmen'!A2:G104,6,0),"")</f>
        <v>0</v>
      </c>
      <c r="H440" s="94">
        <f>IFERROR(VLOOKUP($B440,'Aktuelle Einnahmen'!A2:G104,7,0),"")</f>
        <v>0</v>
      </c>
      <c r="I440" s="186" t="e">
        <f>DATE(H440,G440,F440)</f>
        <v>#NUM!</v>
      </c>
      <c r="J440" s="472">
        <f ca="1">J430</f>
        <v>45475</v>
      </c>
      <c r="K440" s="506" t="str">
        <f t="shared" si="145"/>
        <v>+Inflat.-P</v>
      </c>
      <c r="L440" s="1262" t="str">
        <f>IFERROR(VLOOKUP(B440,'Aktuelle Einnahmen'!A12:I114,9,0),"")</f>
        <v>Auswahl treffen</v>
      </c>
      <c r="M440" s="1263"/>
      <c r="N440" s="261"/>
      <c r="O440" s="261"/>
      <c r="P440" s="261"/>
      <c r="Q440" s="261"/>
      <c r="R440" s="189"/>
      <c r="S440" s="190"/>
      <c r="T440" s="190"/>
      <c r="U440" s="191"/>
      <c r="V440" s="192"/>
      <c r="W440" s="190"/>
      <c r="X440" s="190"/>
      <c r="Y440" s="191"/>
      <c r="Z440" s="192"/>
      <c r="AA440" s="190"/>
      <c r="AB440" s="190"/>
      <c r="AC440" s="191"/>
      <c r="AD440" s="192"/>
      <c r="AE440" s="190"/>
      <c r="AF440" s="190"/>
      <c r="AG440" s="191"/>
      <c r="AH440" s="193"/>
      <c r="AI440" s="190"/>
      <c r="AJ440" s="190"/>
      <c r="AK440" s="374"/>
      <c r="AL440" s="348"/>
      <c r="AM440" s="354"/>
      <c r="AN440" s="354"/>
      <c r="AO440" s="354"/>
      <c r="AP440" s="354"/>
      <c r="AQ440" s="350"/>
      <c r="AR440" s="769"/>
      <c r="AS440" s="769"/>
      <c r="AT440" s="769"/>
      <c r="BM440" s="335"/>
    </row>
    <row r="441" spans="1:65" ht="22.25" customHeight="1">
      <c r="A441" s="181">
        <f t="shared" si="144"/>
        <v>45292</v>
      </c>
      <c r="B441" s="484" t="e">
        <f>DAY(I440)</f>
        <v>#NUM!</v>
      </c>
      <c r="C441" s="489" t="s">
        <v>158</v>
      </c>
      <c r="D441" s="520" t="e">
        <f>(I441*4)+J441/3+1</f>
        <v>#NUM!</v>
      </c>
      <c r="E441" s="194" t="e">
        <f>J443+1</f>
        <v>#NUM!</v>
      </c>
      <c r="F441" s="195" t="e">
        <f t="shared" ref="F441:F448" si="158">DAY(E441)</f>
        <v>#NUM!</v>
      </c>
      <c r="G441" s="196" t="e">
        <f t="shared" ref="G441:G448" si="159">MONTH(E441)</f>
        <v>#NUM!</v>
      </c>
      <c r="H441" s="195" t="e">
        <f t="shared" ref="H441:H448" si="160">YEAR(E441)</f>
        <v>#NUM!</v>
      </c>
      <c r="I441" s="197" t="e">
        <f>H441-(H440+2000)</f>
        <v>#NUM!</v>
      </c>
      <c r="J441" s="198" t="e">
        <f>G441-G440</f>
        <v>#NUM!</v>
      </c>
      <c r="K441" s="506" t="str">
        <f>L439</f>
        <v/>
      </c>
      <c r="L441" s="469"/>
      <c r="M441" s="473" t="e">
        <f ca="1">SUM(J440-E442)&amp;" Tage"</f>
        <v>#NUM!</v>
      </c>
      <c r="N441" s="206"/>
      <c r="O441" s="201"/>
      <c r="P441" s="201"/>
      <c r="Q441" s="202"/>
      <c r="R441" s="189"/>
      <c r="S441" s="203"/>
      <c r="T441" s="203"/>
      <c r="U441" s="204"/>
      <c r="V441" s="192"/>
      <c r="W441" s="203"/>
      <c r="X441" s="203"/>
      <c r="Y441" s="204"/>
      <c r="Z441" s="192"/>
      <c r="AA441" s="203"/>
      <c r="AB441" s="203"/>
      <c r="AC441" s="204"/>
      <c r="AD441" s="192"/>
      <c r="AE441" s="203"/>
      <c r="AF441" s="203"/>
      <c r="AG441" s="204"/>
      <c r="AH441" s="193"/>
      <c r="AI441" s="203"/>
      <c r="AJ441" s="203"/>
      <c r="AK441" s="375"/>
      <c r="AL441" s="348"/>
      <c r="AM441" s="354"/>
      <c r="AN441" s="354"/>
      <c r="AO441" s="354"/>
      <c r="AP441" s="354"/>
      <c r="AQ441" s="350"/>
      <c r="AR441" s="769"/>
      <c r="AS441" s="769"/>
      <c r="AT441" s="769"/>
      <c r="BM441" s="335"/>
    </row>
    <row r="442" spans="1:65" ht="22.25" customHeight="1">
      <c r="A442" s="181">
        <f t="shared" si="144"/>
        <v>45292</v>
      </c>
      <c r="B442" s="485"/>
      <c r="C442" s="490"/>
      <c r="D442" s="521"/>
      <c r="E442" s="194" t="e">
        <f>DATE(YEAR(E441),MONTH(E441)+3,DAY(E441)-1)</f>
        <v>#NUM!</v>
      </c>
      <c r="F442" s="195" t="e">
        <f t="shared" si="158"/>
        <v>#NUM!</v>
      </c>
      <c r="G442" s="196" t="e">
        <f t="shared" si="159"/>
        <v>#NUM!</v>
      </c>
      <c r="H442" s="195" t="e">
        <f t="shared" si="160"/>
        <v>#NUM!</v>
      </c>
      <c r="I442" s="244">
        <v>-1</v>
      </c>
      <c r="J442" s="198" t="e">
        <f>F441-F440</f>
        <v>#NUM!</v>
      </c>
      <c r="K442" s="506" t="str">
        <f t="shared" si="145"/>
        <v>+Inflat.-P</v>
      </c>
      <c r="L442" s="511" t="e">
        <f>IF(M439="Stufe A",IF(AND(L440="Auswahl treffen",D441&gt;=0,D441&lt;=1000),J439,IF(AND(L440="Vermögend und ambulant",D441&gt;8,D441&lt;=1000),130,IF(AND(L440="Vermögend und ambulant",D441&gt;4,D441&lt;=8),158,IF(AND(L440="Vermögend und ambulant",D441&gt;2,D441&lt;=4),192,IF(AND(L440="Vermögend und ambulant",D441&gt;1,D441&lt;=2),208,IF(AND(L440="Vermögend und ambulant",D441&gt;0,D441&lt;=1),298,IF(AND(L440="Vermögend und stationär",D441&gt;8,D441&lt;=1000),78,IF(AND(L440="Vermögend und stationär",D441&gt;4,D441&lt;=8),91,IF(AND(L440="Vermögend und stationär",D441&gt;2,D441&lt;=4),140,IF(AND(L440="Vermögend und stationär",D441&gt;1,D441&lt;=2),158,IF(AND(L440="Vermögend und stationär",D441&gt;0,D441&lt;=1),200,IF(AND(L440="Mittellos und ambulant",D441&gt;8,D441&lt;=1000),105,IF(AND(L440="Mittellos und ambulant",D441&gt;4,D441&lt;=8),122,IF(AND(L440="Mittellos und ambulant",D441&gt;2,D441&lt;=4),151,IF(AND(L440="Mittellos und ambulant",D441&gt;1,D441&lt;=2),170,IF(AND(L440="Mittellos und ambulant",D441&gt;0,D441&lt;=1),208,IF(AND(L440="Mittellos und stationär",D441&gt;8,D441&lt;=1000),62,IF(AND(L440="Mittellos und stationär",D441&gt;4,D441&lt;=8),87,IF(AND(L440="Mittellos und stationär",D441&gt;2,D441&lt;=4),124,IF(AND(L440="Mittellos und stationär",D441&gt;1,D441&lt;=2),129,IF(AND(L440="Mittellos und stationär",D441&gt;0,D441&lt;=1),194,""))))))))))))))))))))),IF(M439="Stufe B",IF(AND(L440="Auswahl treffen",D441&gt;=0,D441&lt;=1000),J439,IF(AND(L440="Vermögend und ambulant",D441&gt;8,D441&lt;=1000),161,IF(AND(L440="Vermögend und ambulant",D441&gt;4,D441&lt;=8),196,IF(AND(L440="Vermögend und ambulant",D441&gt;2,D441&lt;=4),238,IF(AND(L440="Vermögend und ambulant",D441&gt;1,D441&lt;=2),258,IF(AND(L440="Vermögend und ambulant",D441&gt;0,D441&lt;=1),370,IF(AND(L440="Vermögend und stationär",D441&gt;8,D441&lt;=1000),96,IF(AND(L440="Vermögend und stationär",D441&gt;4,D441&lt;=8),113,IF(AND(L440="Vermögend und stationär",D441&gt;2,D441&lt;=4),174,IF(AND(L440="Vermögend und stationär",D441&gt;1,D441&lt;=2),196,IF(AND(L440="Vermögend und stationär",D441&gt;0,D441&lt;=1),249,IF(AND(L440="Mittellos und ambulant",D441&gt;8,D441&lt;=1000),130,IF(AND(L440="Mittellos und ambulant",D441&gt;4,D441&lt;=8),151,IF(AND(L440="Mittellos und ambulant",D441&gt;2,D441&lt;=4),188,IF(AND(L440="Mittellos und ambulant",D441&gt;1,D441&lt;=2),211,IF(AND(L440="Mittellos und ambulant",D441&gt;0,D441&lt;=1),258,IF(AND(L440="Mittellos und stationär",D441&gt;8,D441&lt;=1000),78,IF(AND(L440="Mittellos und stationär",D441&gt;4,D441&lt;=8),107,IF(AND(L440="Mittellos und stationär",D441&gt;2,D441&lt;=4),154,IF(AND(L440="Mittellos und stationär",D441&gt;1,D441&lt;=2),158,IF(AND(L440="Mittellos und stationär",D441&gt;0,D441&lt;=1),241,""))))))))))))))))))))),IF(M439="Stufe C",IF(AND(L440="Auswahl treffen",D441&gt;=0,D441&lt;=1000),J439,IF(AND(L440="Vermögend und ambulant",D441&gt;8,D441&lt;=1000),211,IF(AND(L440="Vermögend und ambulant",D441&gt;4,D441&lt;=8),257,IF(AND(L440="Vermögend und ambulant",D441&gt;2,D441&lt;=4),312,IF(AND(L440="Vermögend und ambulant",D441&gt;1,D441&lt;=2),339,IF(AND(L440="Vermögend und ambulant",D441&gt;0,D441&lt;=1),486,IF(AND(L440="Vermögend und stationär",D441&gt;8,D441&lt;=1000),127,IF(AND(L440="Vermögend und stationär",D441&gt;4,D441&lt;=8),149,IF(AND(L440="Vermögend und stationär",D441&gt;2,D441&lt;=4),229,IF(AND(L440="Vermögend und stationär",D441&gt;1,D441&lt;=2),257,IF(AND(L440="Vermögend und stationär",D441&gt;0,D441&lt;=1),327,IF(AND(L440="Mittellos und ambulant",D441&gt;8,D441&lt;=1000),171,IF(AND(L440="Mittellos und ambulant",D441&gt;4,D441&lt;=8),198,IF(AND(L440="Mittellos und ambulant",D441&gt;2,D441&lt;=4),246,IF(AND(L440="Mittellos und ambulant",D441&gt;1,D441&lt;=2),277,IF(AND(L440="Mittellos und ambulant",D441&gt;0,D441&lt;=1),339,IF(AND(L440="Mittellos und stationär",D441&gt;8,D441&lt;=1000),102,IF(AND(L440="Mittellos und stationär",D441&gt;4,D441&lt;=8),141,IF(AND(L440="Mittellos und stationär",D441&gt;2,D441&lt;=4),202,IF(AND(L440="Mittellos und stationär",D441&gt;1,D441&lt;=2),208,IF(AND(L440="Mittellos und stationär",D441&gt;0,D441&lt;=1),317,""))))))))))))))))))))),"")))*3+(J439*90)</f>
        <v>#NUM!</v>
      </c>
      <c r="M442" s="507" t="str">
        <f>CONCATENATE(K442, K441)</f>
        <v>+Inflat.-P</v>
      </c>
      <c r="N442" s="206" t="s">
        <v>118</v>
      </c>
      <c r="O442" s="207"/>
      <c r="P442" s="207"/>
      <c r="Q442" s="208"/>
      <c r="R442" s="187"/>
      <c r="S442" s="209" t="s">
        <v>118</v>
      </c>
      <c r="T442" s="201" t="s">
        <v>117</v>
      </c>
      <c r="U442" s="210" t="s">
        <v>26</v>
      </c>
      <c r="V442" s="192"/>
      <c r="W442" s="203"/>
      <c r="X442" s="203"/>
      <c r="Y442" s="210"/>
      <c r="Z442" s="192"/>
      <c r="AA442" s="203"/>
      <c r="AB442" s="203"/>
      <c r="AC442" s="210"/>
      <c r="AD442" s="192"/>
      <c r="AE442" s="203"/>
      <c r="AF442" s="203"/>
      <c r="AG442" s="210"/>
      <c r="AH442" s="193"/>
      <c r="AI442" s="203"/>
      <c r="AJ442" s="203"/>
      <c r="AK442" s="376"/>
      <c r="AL442" s="348" t="s">
        <v>148</v>
      </c>
      <c r="AM442" s="354">
        <f>IF(SUM(N440:N448)=SUM(S440:S448), 0, SUM(N440:N448)-SUM(S440:S448))</f>
        <v>0</v>
      </c>
      <c r="AN442" s="354"/>
      <c r="AO442" s="354"/>
      <c r="AP442" s="354"/>
      <c r="AQ442" s="350">
        <f>AM442+AN442+AO442+AP442</f>
        <v>0</v>
      </c>
      <c r="AR442" s="769"/>
      <c r="AS442" s="769"/>
      <c r="AT442" s="769"/>
      <c r="BM442" s="335"/>
    </row>
    <row r="443" spans="1:65" ht="22.25" customHeight="1">
      <c r="A443" s="181">
        <f t="shared" si="144"/>
        <v>45292</v>
      </c>
      <c r="B443" s="484" t="e">
        <f>MONTH(I440)</f>
        <v>#NUM!</v>
      </c>
      <c r="C443" s="489" t="s">
        <v>158</v>
      </c>
      <c r="D443" s="522" t="e">
        <f>D441+1</f>
        <v>#NUM!</v>
      </c>
      <c r="E443" s="211" t="e">
        <f>DATE(YEAR(E442),MONTH(E442),DAY(E442)+1)</f>
        <v>#NUM!</v>
      </c>
      <c r="F443" s="212" t="e">
        <f t="shared" si="158"/>
        <v>#NUM!</v>
      </c>
      <c r="G443" s="213" t="e">
        <f t="shared" si="159"/>
        <v>#NUM!</v>
      </c>
      <c r="H443" s="212" t="e">
        <f t="shared" si="160"/>
        <v>#NUM!</v>
      </c>
      <c r="I443" s="214" t="str">
        <f>IF(D440&lt;&gt;0,"-1T","")</f>
        <v/>
      </c>
      <c r="J443" s="215" t="e">
        <f>DATE($B445,I444,$B441)</f>
        <v>#NUM!</v>
      </c>
      <c r="K443" s="501" t="str">
        <f t="shared" si="145"/>
        <v/>
      </c>
      <c r="L443" s="470"/>
      <c r="M443" s="473" t="e">
        <f ca="1">SUM(J440-E444)&amp;" Tage"</f>
        <v>#NUM!</v>
      </c>
      <c r="N443" s="216"/>
      <c r="O443" s="217"/>
      <c r="P443" s="188"/>
      <c r="Q443" s="217"/>
      <c r="R443" s="189"/>
      <c r="S443" s="190"/>
      <c r="T443" s="190"/>
      <c r="U443" s="191"/>
      <c r="V443" s="192"/>
      <c r="W443" s="190"/>
      <c r="X443" s="190"/>
      <c r="Y443" s="191"/>
      <c r="Z443" s="192"/>
      <c r="AA443" s="190"/>
      <c r="AB443" s="190"/>
      <c r="AC443" s="191"/>
      <c r="AD443" s="192"/>
      <c r="AE443" s="190"/>
      <c r="AF443" s="190"/>
      <c r="AG443" s="191"/>
      <c r="AH443" s="193"/>
      <c r="AI443" s="190"/>
      <c r="AJ443" s="190"/>
      <c r="AK443" s="374"/>
      <c r="AL443" s="348"/>
      <c r="AM443" s="354"/>
      <c r="AN443" s="354"/>
      <c r="AO443" s="354"/>
      <c r="AP443" s="354"/>
      <c r="AQ443" s="350"/>
      <c r="AR443" s="769"/>
      <c r="AS443" s="769"/>
      <c r="AT443" s="769"/>
      <c r="BM443" s="335"/>
    </row>
    <row r="444" spans="1:65" ht="22.25" customHeight="1">
      <c r="A444" s="181">
        <f t="shared" si="144"/>
        <v>45292</v>
      </c>
      <c r="B444" s="485"/>
      <c r="C444" s="490"/>
      <c r="D444" s="521"/>
      <c r="E444" s="218" t="e">
        <f>DATE(YEAR(E443),MONTH(E443)+3,DAY(E443)-1)</f>
        <v>#NUM!</v>
      </c>
      <c r="F444" s="212" t="e">
        <f t="shared" si="158"/>
        <v>#NUM!</v>
      </c>
      <c r="G444" s="213" t="e">
        <f t="shared" si="159"/>
        <v>#NUM!</v>
      </c>
      <c r="H444" s="212" t="e">
        <f t="shared" si="160"/>
        <v>#NUM!</v>
      </c>
      <c r="I444" s="219">
        <f>MAX(I445:I448)</f>
        <v>9</v>
      </c>
      <c r="J444" s="220" t="e">
        <f>DATE(YEAR(J443)+1,MONTH(J443),DAY(J443))</f>
        <v>#NUM!</v>
      </c>
      <c r="K444" s="506" t="str">
        <f t="shared" si="145"/>
        <v>+Inflat.-P</v>
      </c>
      <c r="L444" s="508" t="e">
        <f>IF(M439="Stufe A",IF(AND(L440="Auswahl treffen",D443&gt;=0,D443&lt;=1000),J439,IF(AND(L440="Vermögend und ambulant",D443&gt;8,D443&lt;=1000),130,IF(AND(L440="Vermögend und ambulant",D443&gt;4,D443&lt;=8),158,IF(AND(L440="Vermögend und ambulant",D443&gt;2,D443&lt;=4),192,IF(AND(L440="Vermögend und ambulant",D443&gt;1,D443&lt;=2),208,IF(AND(L440="Vermögend und ambulant",D443&gt;0,D443&lt;=1),298,IF(AND(L440="Vermögend und stationär",D443&gt;8,D443&lt;=1000),78,IF(AND(L440="Vermögend und stationär",D443&gt;4,D443&lt;=8),91,IF(AND(L440="Vermögend und stationär",D443&gt;2,D443&lt;=4),140,IF(AND(L440="Vermögend und stationär",D443&gt;1,D443&lt;=2),158,IF(AND(L440="Vermögend und stationär",D443&gt;0,D443&lt;=1),200,IF(AND(L440="Mittellos und ambulant",D443&gt;8,D443&lt;=1000),105,IF(AND(L440="Mittellos und ambulant",D443&gt;4,D443&lt;=8),122,IF(AND(L440="Mittellos und ambulant",D443&gt;2,D443&lt;=4),151,IF(AND(L440="Mittellos und ambulant",D443&gt;1,D443&lt;=2),170,IF(AND(L440="Mittellos und ambulant",D443&gt;0,D443&lt;=1),208,IF(AND(L440="Mittellos und stationär",D443&gt;8,D443&lt;=1000),62,IF(AND(L440="Mittellos und stationär",D443&gt;4,D443&lt;=8),87,IF(AND(L440="Mittellos und stationär",D443&gt;2,D443&lt;=4),124,IF(AND(L440="Mittellos und stationär",D443&gt;1,D443&lt;=2),129,IF(AND(L440="Mittellos und stationär",D443&gt;0,D443&lt;=1),194,""))))))))))))))))))))),IF(M439="Stufe B",IF(AND(L440="Auswahl treffen",D443&gt;=0,D443&lt;=1000),J439,IF(AND(L440="Vermögend und ambulant",D443&gt;8,D443&lt;=1000),161,IF(AND(L440="Vermögend und ambulant",D443&gt;4,D443&lt;=8),196,IF(AND(L440="Vermögend und ambulant",D443&gt;2,D443&lt;=4),238,IF(AND(L440="Vermögend und ambulant",D443&gt;1,D443&lt;=2),258,IF(AND(L440="Vermögend und ambulant",D443&gt;0,D443&lt;=1),370,IF(AND(L440="Vermögend und stationär",D443&gt;8,D443&lt;=1000),96,IF(AND(L440="Vermögend und stationär",D443&gt;4,D443&lt;=8),113,IF(AND(L440="Vermögend und stationär",D443&gt;2,D443&lt;=4),174,IF(AND(L440="Vermögend und stationär",D443&gt;1,D443&lt;=2),196,IF(AND(L440="Vermögend und stationär",D443&gt;0,D443&lt;=1),249,IF(AND(L440="Mittellos und ambulant",D443&gt;8,D443&lt;=1000),130,IF(AND(L440="Mittellos und ambulant",D443&gt;4,D443&lt;=8),151,IF(AND(L440="Mittellos und ambulant",D443&gt;2,D443&lt;=4),188,IF(AND(L440="Mittellos und ambulant",D443&gt;1,D443&lt;=2),211,IF(AND(L440="Mittellos und ambulant",D443&gt;0,D443&lt;=1),258,IF(AND(L440="Mittellos und stationär",D443&gt;8,D443&lt;=1000),78,IF(AND(L440="Mittellos und stationär",D443&gt;4,D443&lt;=8),107,IF(AND(L440="Mittellos und stationär",D443&gt;2,D443&lt;=4),154,IF(AND(L440="Mittellos und stationär",D443&gt;1,D443&lt;=2),158,IF(AND(L440="Mittellos und stationär",D443&gt;0,D443&lt;=1),241,""))))))))))))))))))))),IF(M439="Stufe C",IF(AND(L440="Auswahl treffen",D443&gt;=0,D443&lt;=1000),J439,IF(AND(L440="Vermögend und ambulant",D443&gt;8,D443&lt;=1000),211,IF(AND(L440="Vermögend und ambulant",D443&gt;4,D443&lt;=8),257,IF(AND(L440="Vermögend und ambulant",D443&gt;2,D443&lt;=4),312,IF(AND(L440="Vermögend und ambulant",D443&gt;1,D443&lt;=2),339,IF(AND(L440="Vermögend und ambulant",D443&gt;0,D443&lt;=1),486,IF(AND(L440="Vermögend und stationär",D443&gt;8,D443&lt;=1000),127,IF(AND(L440="Vermögend und stationär",D443&gt;4,D443&lt;=8),149,IF(AND(L440="Vermögend und stationär",D443&gt;2,D443&lt;=4),229,IF(AND(L440="Vermögend und stationär",D443&gt;1,D443&lt;=2),257,IF(AND(L440="Vermögend und stationär",D443&gt;0,D443&lt;=1),327,IF(AND(L440="Mittellos und ambulant",D443&gt;8,D443&lt;=1000),171,IF(AND(L440="Mittellos und ambulant",D443&gt;4,D443&lt;=8),198,IF(AND(L440="Mittellos und ambulant",D443&gt;2,D443&lt;=4),246,IF(AND(L440="Mittellos und ambulant",D443&gt;1,D443&lt;=2),277,IF(AND(L440="Mittellos und ambulant",D443&gt;0,D443&lt;=1),339,IF(AND(L440="Mittellos und stationär",D443&gt;8,D443&lt;=1000),102,IF(AND(L440="Mittellos und stationär",D443&gt;4,D443&lt;=8),141,IF(AND(L440="Mittellos und stationär",D443&gt;2,D443&lt;=4),202,IF(AND(L440="Mittellos und stationär",D443&gt;1,D443&lt;=2),208,IF(AND(L440="Mittellos und stationär",D443&gt;0,D443&lt;=1),317,""))))))))))))))))))))),"")))*3+(J439*90)</f>
        <v>#NUM!</v>
      </c>
      <c r="M444" s="507" t="str">
        <f>CONCATENATE(K444, K443)</f>
        <v>+Inflat.-P</v>
      </c>
      <c r="N444" s="216"/>
      <c r="O444" s="188" t="s">
        <v>118</v>
      </c>
      <c r="P444" s="188"/>
      <c r="Q444" s="221"/>
      <c r="R444" s="199"/>
      <c r="S444" s="190"/>
      <c r="T444" s="190"/>
      <c r="U444" s="191"/>
      <c r="V444" s="192"/>
      <c r="W444" s="222" t="s">
        <v>118</v>
      </c>
      <c r="X444" s="222" t="s">
        <v>117</v>
      </c>
      <c r="Y444" s="191" t="s">
        <v>26</v>
      </c>
      <c r="Z444" s="192"/>
      <c r="AA444" s="190"/>
      <c r="AB444" s="190"/>
      <c r="AC444" s="191"/>
      <c r="AD444" s="192"/>
      <c r="AE444" s="190"/>
      <c r="AF444" s="190"/>
      <c r="AG444" s="191"/>
      <c r="AH444" s="193"/>
      <c r="AI444" s="190"/>
      <c r="AJ444" s="190"/>
      <c r="AK444" s="374"/>
      <c r="AL444" s="348" t="s">
        <v>149</v>
      </c>
      <c r="AM444" s="354"/>
      <c r="AN444" s="354">
        <f>IF(SUM(O440:O448)=SUM(W440:W448), 0, SUM(O440:O448)-SUM(W440:W448))</f>
        <v>0</v>
      </c>
      <c r="AO444" s="354"/>
      <c r="AP444" s="354"/>
      <c r="AQ444" s="350">
        <f>AM444+AN444+AO444+AP444</f>
        <v>0</v>
      </c>
      <c r="AR444" s="769"/>
      <c r="AS444" s="769"/>
      <c r="AT444" s="769"/>
      <c r="BM444" s="335"/>
    </row>
    <row r="445" spans="1:65" ht="22.25" customHeight="1">
      <c r="A445" s="181">
        <f t="shared" si="144"/>
        <v>45292</v>
      </c>
      <c r="B445" s="484">
        <f>YEAR($A446)-1</f>
        <v>2023</v>
      </c>
      <c r="C445" s="489" t="s">
        <v>158</v>
      </c>
      <c r="D445" s="520" t="e">
        <f>D443+1</f>
        <v>#NUM!</v>
      </c>
      <c r="E445" s="194" t="e">
        <f>DATE(YEAR(E444),MONTH(E444),DAY(E444)+1)</f>
        <v>#NUM!</v>
      </c>
      <c r="F445" s="195" t="e">
        <f t="shared" si="158"/>
        <v>#NUM!</v>
      </c>
      <c r="G445" s="196" t="e">
        <f t="shared" si="159"/>
        <v>#NUM!</v>
      </c>
      <c r="H445" s="195" t="e">
        <f t="shared" si="160"/>
        <v>#NUM!</v>
      </c>
      <c r="I445" s="197">
        <f>IF(J447&lt;13,J447,"")</f>
        <v>9</v>
      </c>
      <c r="J445" s="224">
        <f>G440</f>
        <v>0</v>
      </c>
      <c r="K445" s="501" t="str">
        <f t="shared" si="145"/>
        <v/>
      </c>
      <c r="L445" s="471"/>
      <c r="M445" s="473" t="e">
        <f ca="1">SUM(J440-E446)&amp;" Tage"</f>
        <v>#NUM!</v>
      </c>
      <c r="N445" s="200"/>
      <c r="O445" s="201"/>
      <c r="P445" s="201"/>
      <c r="Q445" s="202"/>
      <c r="R445" s="189"/>
      <c r="S445" s="203"/>
      <c r="T445" s="203"/>
      <c r="U445" s="204"/>
      <c r="V445" s="192"/>
      <c r="W445" s="203"/>
      <c r="X445" s="203"/>
      <c r="Y445" s="204"/>
      <c r="Z445" s="192"/>
      <c r="AA445" s="203"/>
      <c r="AB445" s="203"/>
      <c r="AC445" s="204"/>
      <c r="AD445" s="192"/>
      <c r="AE445" s="203"/>
      <c r="AF445" s="203"/>
      <c r="AG445" s="204"/>
      <c r="AH445" s="193"/>
      <c r="AI445" s="203"/>
      <c r="AJ445" s="203"/>
      <c r="AK445" s="375"/>
      <c r="AL445" s="348"/>
      <c r="AM445" s="354"/>
      <c r="AN445" s="354"/>
      <c r="AO445" s="354"/>
      <c r="AP445" s="354"/>
      <c r="AQ445" s="350"/>
      <c r="AR445" s="769"/>
      <c r="AS445" s="769"/>
      <c r="AT445" s="769"/>
      <c r="BM445" s="335"/>
    </row>
    <row r="446" spans="1:65" ht="22.25" customHeight="1">
      <c r="A446" s="181">
        <f t="shared" si="144"/>
        <v>45292</v>
      </c>
      <c r="B446" s="485"/>
      <c r="C446" s="490"/>
      <c r="D446" s="521"/>
      <c r="E446" s="194" t="e">
        <f>DATE(YEAR(E445),MONTH(E445)+3,DAY(E445)-1)</f>
        <v>#NUM!</v>
      </c>
      <c r="F446" s="195" t="e">
        <f t="shared" si="158"/>
        <v>#NUM!</v>
      </c>
      <c r="G446" s="196" t="e">
        <f t="shared" si="159"/>
        <v>#NUM!</v>
      </c>
      <c r="H446" s="195" t="e">
        <f t="shared" si="160"/>
        <v>#NUM!</v>
      </c>
      <c r="I446" s="244">
        <f>IF(J448&lt;13,J448,"")</f>
        <v>6</v>
      </c>
      <c r="J446" s="224">
        <f>J445+3</f>
        <v>3</v>
      </c>
      <c r="K446" s="501" t="str">
        <f t="shared" si="145"/>
        <v>+Inflat.-P</v>
      </c>
      <c r="L446" s="511" t="e">
        <f>IF(M439="Stufe A",IF(AND(L440="Auswahl treffen",D445&gt;=0,D445&lt;=1000),J439,IF(AND(L440="Vermögend und ambulant",D445&gt;8,D445&lt;=1000),130,IF(AND(L440="Vermögend und ambulant",D445&gt;4,D445&lt;=8),158,IF(AND(L440="Vermögend und ambulant",D445&gt;2,D445&lt;=4),192,IF(AND(L440="Vermögend und ambulant",D445&gt;1,D445&lt;=2),208,IF(AND(L440="Vermögend und ambulant",D445&gt;0,D445&lt;=1),298,IF(AND(L440="Vermögend und stationär",D445&gt;8,D445&lt;=1000),78,IF(AND(L440="Vermögend und stationär",D445&gt;4,D445&lt;=8),91,IF(AND(L440="Vermögend und stationär",D445&gt;2,D445&lt;=4),140,IF(AND(L440="Vermögend und stationär",D445&gt;1,D445&lt;=2),158,IF(AND(L440="Vermögend und stationär",D445&gt;0,D445&lt;=1),200,IF(AND(L440="Mittellos und ambulant",D445&gt;8,D445&lt;=1000),105,IF(AND(L440="Mittellos und ambulant",D445&gt;4,D445&lt;=8),122,IF(AND(L440="Mittellos und ambulant",D445&gt;2,D445&lt;=4),151,IF(AND(L440="Mittellos und ambulant",D445&gt;1,D445&lt;=2),170,IF(AND(L440="Mittellos und ambulant",D445&gt;0,D445&lt;=1),208,IF(AND(L440="Mittellos und stationär",D445&gt;8,D445&lt;=1000),62,IF(AND(L440="Mittellos und stationär",D445&gt;4,D445&lt;=8),87,IF(AND(L440="Mittellos und stationär",D445&gt;2,D445&lt;=4),124,IF(AND(L440="Mittellos und stationär",D445&gt;1,D445&lt;=2),129,IF(AND(L440="Mittellos und stationär",D445&gt;0,D445&lt;=1),194,""))))))))))))))))))))),IF(M439="Stufe B",IF(AND(L440="Auswahl treffen",D445&gt;=0,D445&lt;=1000),J439,IF(AND(L440="Vermögend und ambulant",D445&gt;8,D445&lt;=1000),161,IF(AND(L440="Vermögend und ambulant",D445&gt;4,D445&lt;=8),196,IF(AND(L440="Vermögend und ambulant",D445&gt;2,D445&lt;=4),238,IF(AND(L440="Vermögend und ambulant",D445&gt;1,D445&lt;=2),258,IF(AND(L440="Vermögend und ambulant",D445&gt;0,D445&lt;=1),370,IF(AND(L440="Vermögend und stationär",D445&gt;8,D445&lt;=1000),96,IF(AND(L440="Vermögend und stationär",D445&gt;4,D445&lt;=8),113,IF(AND(L440="Vermögend und stationär",D445&gt;2,D445&lt;=4),174,IF(AND(L440="Vermögend und stationär",D445&gt;1,D445&lt;=2),196,IF(AND(L440="Vermögend und stationär",D445&gt;0,D445&lt;=1),249,IF(AND(L440="Mittellos und ambulant",D445&gt;8,D445&lt;=1000),130,IF(AND(L440="Mittellos und ambulant",D445&gt;4,D445&lt;=8),151,IF(AND(L440="Mittellos und ambulant",D445&gt;2,D445&lt;=4),188,IF(AND(L440="Mittellos und ambulant",D445&gt;1,D445&lt;=2),211,IF(AND(L440="Mittellos und ambulant",D445&gt;0,D445&lt;=1),258,IF(AND(L440="Mittellos und stationär",D445&gt;8,D445&lt;=1000),78,IF(AND(L440="Mittellos und stationär",D445&gt;4,D445&lt;=8),107,IF(AND(L440="Mittellos und stationär",D445&gt;2,D445&lt;=4),154,IF(AND(L440="Mittellos und stationär",D445&gt;1,D445&lt;=2),158,IF(AND(L440="Mittellos und stationär",D445&gt;0,D445&lt;=1),241,""))))))))))))))))))))),IF(M439="Stufe C",IF(AND(L440="Auswahl treffen",D445&gt;=0,D445&lt;=1000),J439,IF(AND(L440="Vermögend und ambulant",D445&gt;8,D445&lt;=1000),211,IF(AND(L440="Vermögend und ambulant",D445&gt;4,D445&lt;=8),257,IF(AND(L440="Vermögend und ambulant",D445&gt;2,D445&lt;=4),312,IF(AND(L440="Vermögend und ambulant",D445&gt;1,D445&lt;=2),339,IF(AND(L440="Vermögend und ambulant",D445&gt;0,D445&lt;=1),486,IF(AND(L440="Vermögend und stationär",D445&gt;8,D445&lt;=1000),127,IF(AND(L440="Vermögend und stationär",D445&gt;4,D445&lt;=8),149,IF(AND(L440="Vermögend und stationär",D445&gt;2,D445&lt;=4),229,IF(AND(L440="Vermögend und stationär",D445&gt;1,D445&lt;=2),257,IF(AND(L440="Vermögend und stationär",D445&gt;0,D445&lt;=1),327,IF(AND(L440="Mittellos und ambulant",D445&gt;8,D445&lt;=1000),171,IF(AND(L440="Mittellos und ambulant",D445&gt;4,D445&lt;=8),198,IF(AND(L440="Mittellos und ambulant",D445&gt;2,D445&lt;=4),246,IF(AND(L440="Mittellos und ambulant",D445&gt;1,D445&lt;=2),277,IF(AND(L440="Mittellos und ambulant",D445&gt;0,D445&lt;=1),339,IF(AND(L440="Mittellos und stationär",D445&gt;8,D445&lt;=1000),102,IF(AND(L440="Mittellos und stationär",D445&gt;4,D445&lt;=8),141,IF(AND(L440="Mittellos und stationär",D445&gt;2,D445&lt;=4),202,IF(AND(L440="Mittellos und stationär",D445&gt;1,D445&lt;=2),208,IF(AND(L440="Mittellos und stationär",D445&gt;0,D445&lt;=1),317,""))))))))))))))))))))),"")))*3+(J439*90)</f>
        <v>#NUM!</v>
      </c>
      <c r="M446" s="507" t="str">
        <f>CONCATENATE(K446, K445)</f>
        <v>+Inflat.-P</v>
      </c>
      <c r="N446" s="206"/>
      <c r="O446" s="207"/>
      <c r="P446" s="206" t="s">
        <v>118</v>
      </c>
      <c r="Q446" s="226"/>
      <c r="R446" s="189"/>
      <c r="S446" s="203"/>
      <c r="T446" s="203"/>
      <c r="U446" s="204"/>
      <c r="V446" s="192"/>
      <c r="W446" s="203"/>
      <c r="X446" s="203"/>
      <c r="Y446" s="204"/>
      <c r="Z446" s="192"/>
      <c r="AA446" s="209" t="s">
        <v>118</v>
      </c>
      <c r="AB446" s="209" t="s">
        <v>117</v>
      </c>
      <c r="AC446" s="204" t="s">
        <v>26</v>
      </c>
      <c r="AD446" s="192"/>
      <c r="AE446" s="203"/>
      <c r="AF446" s="203"/>
      <c r="AG446" s="204"/>
      <c r="AH446" s="193"/>
      <c r="AI446" s="203"/>
      <c r="AJ446" s="203"/>
      <c r="AK446" s="375"/>
      <c r="AL446" s="348" t="s">
        <v>150</v>
      </c>
      <c r="AM446" s="354"/>
      <c r="AN446" s="354"/>
      <c r="AO446" s="354">
        <f>IF(SUM(P440:P448)=SUM(AA440:AA448), 0, SUM(P440:P448)-SUM(AA440:AA448))</f>
        <v>0</v>
      </c>
      <c r="AP446" s="354"/>
      <c r="AQ446" s="350">
        <f>AM446+AN446+AO446+AP446</f>
        <v>0</v>
      </c>
      <c r="AR446" s="769"/>
      <c r="AS446" s="769"/>
      <c r="AT446" s="769"/>
      <c r="BM446" s="335"/>
    </row>
    <row r="447" spans="1:65" ht="22.25" customHeight="1">
      <c r="A447" s="181">
        <f t="shared" si="144"/>
        <v>45292</v>
      </c>
      <c r="B447" s="486"/>
      <c r="C447" s="489" t="s">
        <v>158</v>
      </c>
      <c r="D447" s="522" t="e">
        <f>D445+1</f>
        <v>#NUM!</v>
      </c>
      <c r="E447" s="211" t="e">
        <f>DATE(YEAR(E446),MONTH(E446),DAY(E446)+1)</f>
        <v>#NUM!</v>
      </c>
      <c r="F447" s="227" t="e">
        <f t="shared" si="158"/>
        <v>#NUM!</v>
      </c>
      <c r="G447" s="228" t="e">
        <f t="shared" si="159"/>
        <v>#NUM!</v>
      </c>
      <c r="H447" s="227" t="e">
        <f t="shared" si="160"/>
        <v>#NUM!</v>
      </c>
      <c r="I447" s="231">
        <f>IF(J446&lt;13,J446,"")</f>
        <v>3</v>
      </c>
      <c r="J447" s="230">
        <f>J448+3</f>
        <v>9</v>
      </c>
      <c r="K447" s="506" t="str">
        <f t="shared" si="145"/>
        <v/>
      </c>
      <c r="L447" s="471"/>
      <c r="M447" s="473" t="e">
        <f ca="1">SUM(J440-E448)&amp;" Tage"</f>
        <v>#NUM!</v>
      </c>
      <c r="N447" s="216"/>
      <c r="O447" s="188"/>
      <c r="P447" s="188"/>
      <c r="Q447" s="217"/>
      <c r="R447" s="189"/>
      <c r="S447" s="190"/>
      <c r="T447" s="190"/>
      <c r="U447" s="191"/>
      <c r="V447" s="192"/>
      <c r="W447" s="190"/>
      <c r="X447" s="190"/>
      <c r="Y447" s="191"/>
      <c r="Z447" s="192"/>
      <c r="AA447" s="190"/>
      <c r="AB447" s="190"/>
      <c r="AC447" s="191"/>
      <c r="AD447" s="192"/>
      <c r="AE447" s="190"/>
      <c r="AF447" s="190"/>
      <c r="AG447" s="191"/>
      <c r="AH447" s="193"/>
      <c r="AI447" s="190"/>
      <c r="AJ447" s="190"/>
      <c r="AK447" s="374"/>
      <c r="AL447" s="348"/>
      <c r="AM447" s="354"/>
      <c r="AN447" s="354"/>
      <c r="AO447" s="354"/>
      <c r="AP447" s="354"/>
      <c r="AQ447" s="350"/>
      <c r="AR447" s="769"/>
      <c r="AS447" s="769"/>
      <c r="AT447" s="769"/>
      <c r="BM447" s="335"/>
    </row>
    <row r="448" spans="1:65" ht="22.25" customHeight="1">
      <c r="A448" s="181">
        <f t="shared" si="144"/>
        <v>45292</v>
      </c>
      <c r="B448" s="485"/>
      <c r="C448" s="490"/>
      <c r="D448" s="521"/>
      <c r="E448" s="218" t="e">
        <f>DATE(YEAR(E447),MONTH(E447)+3,DAY(E447)-1)</f>
        <v>#NUM!</v>
      </c>
      <c r="F448" s="227" t="e">
        <f t="shared" si="158"/>
        <v>#NUM!</v>
      </c>
      <c r="G448" s="228" t="e">
        <f t="shared" si="159"/>
        <v>#NUM!</v>
      </c>
      <c r="H448" s="227" t="e">
        <f t="shared" si="160"/>
        <v>#NUM!</v>
      </c>
      <c r="I448" s="231">
        <f>IF(J445&lt;13,J445,"")</f>
        <v>0</v>
      </c>
      <c r="J448" s="230">
        <f>J446+3</f>
        <v>6</v>
      </c>
      <c r="K448" s="501" t="str">
        <f t="shared" si="145"/>
        <v>+Inflat.-P</v>
      </c>
      <c r="L448" s="508" t="e">
        <f>IF(M439="Stufe A",IF(AND(L440="Auswahl treffen",D447&gt;=0,D447&lt;=1000),J439,IF(AND(L440="Vermögend und ambulant",D447&gt;8,D447&lt;=1000),130,IF(AND(L440="Vermögend und ambulant",D447&gt;4,D447&lt;=8),158,IF(AND(L440="Vermögend und ambulant",D447&gt;2,D447&lt;=4),192,IF(AND(L440="Vermögend und ambulant",D447&gt;1,D447&lt;=2),208,IF(AND(L440="Vermögend und ambulant",D447&gt;0,D447&lt;=1),298,IF(AND(L440="Vermögend und stationär",D447&gt;8,D447&lt;=1000),78,IF(AND(L440="Vermögend und stationär",D447&gt;4,D447&lt;=8),91,IF(AND(L440="Vermögend und stationär",D447&gt;2,D447&lt;=4),140,IF(AND(L440="Vermögend und stationär",D447&gt;1,D447&lt;=2),158,IF(AND(L440="Vermögend und stationär",D447&gt;0,D447&lt;=1),200,IF(AND(L440="Mittellos und ambulant",D447&gt;8,D447&lt;=1000),105,IF(AND(L440="Mittellos und ambulant",D447&gt;4,D447&lt;=8),122,IF(AND(L440="Mittellos und ambulant",D447&gt;2,D447&lt;=4),151,IF(AND(L440="Mittellos und ambulant",D447&gt;1,D447&lt;=2),170,IF(AND(L440="Mittellos und ambulant",D447&gt;0,D447&lt;=1),208,IF(AND(L440="Mittellos und stationär",D447&gt;8,D447&lt;=1000),62,IF(AND(L440="Mittellos und stationär",D447&gt;4,D447&lt;=8),87,IF(AND(L440="Mittellos und stationär",D447&gt;2,D447&lt;=4),124,IF(AND(L440="Mittellos und stationär",D447&gt;1,D447&lt;=2),129,IF(AND(L440="Mittellos und stationär",D447&gt;0,D447&lt;=1),194,""))))))))))))))))))))),IF(M439="Stufe B",IF(AND(L440="Auswahl treffen",D447&gt;=0,D447&lt;=1000),J439,IF(AND(L440="Vermögend und ambulant",D447&gt;8,D447&lt;=1000),161,IF(AND(L440="Vermögend und ambulant",D447&gt;4,D447&lt;=8),196,IF(AND(L440="Vermögend und ambulant",D447&gt;2,D447&lt;=4),238,IF(AND(L440="Vermögend und ambulant",D447&gt;1,D447&lt;=2),258,IF(AND(L440="Vermögend und ambulant",D447&gt;0,D447&lt;=1),370,IF(AND(L440="Vermögend und stationär",D447&gt;8,D447&lt;=1000),96,IF(AND(L440="Vermögend und stationär",D447&gt;4,D447&lt;=8),113,IF(AND(L440="Vermögend und stationär",D447&gt;2,D447&lt;=4),174,IF(AND(L440="Vermögend und stationär",D447&gt;1,D447&lt;=2),196,IF(AND(L440="Vermögend und stationär",D447&gt;0,D447&lt;=1),249,IF(AND(L440="Mittellos und ambulant",D447&gt;8,D447&lt;=1000),130,IF(AND(L440="Mittellos und ambulant",D447&gt;4,D447&lt;=8),151,IF(AND(L440="Mittellos und ambulant",D447&gt;2,D447&lt;=4),188,IF(AND(L440="Mittellos und ambulant",D447&gt;1,D447&lt;=2),211,IF(AND(L440="Mittellos und ambulant",D447&gt;0,D447&lt;=1),258,IF(AND(L440="Mittellos und stationär",D447&gt;8,D447&lt;=1000),78,IF(AND(L440="Mittellos und stationär",D447&gt;4,D447&lt;=8),107,IF(AND(L440="Mittellos und stationär",D447&gt;2,D447&lt;=4),154,IF(AND(L440="Mittellos und stationär",D447&gt;1,D447&lt;=2),158,IF(AND(L440="Mittellos und stationär",D447&gt;0,D447&lt;=1),241,""))))))))))))))))))))),IF(M439="Stufe C",IF(AND(L440="Auswahl treffen",D447&gt;=0,D447&lt;=1000),J439,IF(AND(L440="Vermögend und ambulant",D447&gt;8,D447&lt;=1000),211,IF(AND(L440="Vermögend und ambulant",D447&gt;4,D447&lt;=8),257,IF(AND(L440="Vermögend und ambulant",D447&gt;2,D447&lt;=4),312,IF(AND(L440="Vermögend und ambulant",D447&gt;1,D447&lt;=2),339,IF(AND(L440="Vermögend und ambulant",D447&gt;0,D447&lt;=1),486,IF(AND(L440="Vermögend und stationär",D447&gt;8,D447&lt;=1000),127,IF(AND(L440="Vermögend und stationär",D447&gt;4,D447&lt;=8),149,IF(AND(L440="Vermögend und stationär",D447&gt;2,D447&lt;=4),229,IF(AND(L440="Vermögend und stationär",D447&gt;1,D447&lt;=2),257,IF(AND(L440="Vermögend und stationär",D447&gt;0,D447&lt;=1),327,IF(AND(L440="Mittellos und ambulant",D447&gt;8,D447&lt;=1000),171,IF(AND(L440="Mittellos und ambulant",D447&gt;4,D447&lt;=8),198,IF(AND(L440="Mittellos und ambulant",D447&gt;2,D447&lt;=4),246,IF(AND(L440="Mittellos und ambulant",D447&gt;1,D447&lt;=2),277,IF(AND(L440="Mittellos und ambulant",D447&gt;0,D447&lt;=1),339,IF(AND(L440="Mittellos und stationär",D447&gt;8,D447&lt;=1000),102,IF(AND(L440="Mittellos und stationär",D447&gt;4,D447&lt;=8),141,IF(AND(L440="Mittellos und stationär",D447&gt;2,D447&lt;=4),202,IF(AND(L440="Mittellos und stationär",D447&gt;1,D447&lt;=2),208,IF(AND(L440="Mittellos und stationär",D447&gt;0,D447&lt;=1),317,""))))))))))))))))))))),"")))*3+(J439*90)</f>
        <v>#NUM!</v>
      </c>
      <c r="M448" s="507" t="str">
        <f>CONCATENATE(K448, K447)</f>
        <v>+Inflat.-P</v>
      </c>
      <c r="N448" s="216"/>
      <c r="O448" s="188"/>
      <c r="P448" s="188"/>
      <c r="Q448" s="217" t="s">
        <v>118</v>
      </c>
      <c r="R448" s="189"/>
      <c r="S448" s="190"/>
      <c r="T448" s="190"/>
      <c r="U448" s="191"/>
      <c r="V448" s="192"/>
      <c r="W448" s="190"/>
      <c r="X448" s="190"/>
      <c r="Y448" s="191"/>
      <c r="Z448" s="192"/>
      <c r="AA448" s="190"/>
      <c r="AB448" s="190"/>
      <c r="AC448" s="191"/>
      <c r="AD448" s="192"/>
      <c r="AE448" s="190" t="s">
        <v>118</v>
      </c>
      <c r="AF448" s="190" t="s">
        <v>117</v>
      </c>
      <c r="AG448" s="191" t="s">
        <v>26</v>
      </c>
      <c r="AH448" s="193"/>
      <c r="AI448" s="190" t="s">
        <v>118</v>
      </c>
      <c r="AJ448" s="190" t="s">
        <v>117</v>
      </c>
      <c r="AK448" s="374" t="s">
        <v>26</v>
      </c>
      <c r="AL448" s="348" t="s">
        <v>151</v>
      </c>
      <c r="AM448" s="354"/>
      <c r="AN448" s="354"/>
      <c r="AO448" s="354"/>
      <c r="AP448" s="354">
        <f>IF(SUM(Q440:Q448)=SUM(AE440:AE448,AI440:AI448), 0, SUM(Q440:Q448)-SUM(AE440:AE448,AI440:AI448))</f>
        <v>0</v>
      </c>
      <c r="AQ448" s="350">
        <f>AM448+AN448+AO448+AP448</f>
        <v>0</v>
      </c>
      <c r="AR448" s="769"/>
      <c r="AS448" s="769"/>
      <c r="AT448" s="769"/>
      <c r="BM448" s="335"/>
    </row>
    <row r="449" spans="1:65" ht="22" customHeight="1">
      <c r="A449" s="181">
        <f t="shared" si="144"/>
        <v>45292</v>
      </c>
      <c r="B449" s="232" t="s">
        <v>74</v>
      </c>
      <c r="C449" s="233" t="s">
        <v>75</v>
      </c>
      <c r="D449" s="234" t="s">
        <v>76</v>
      </c>
      <c r="E449" s="235" t="s">
        <v>11</v>
      </c>
      <c r="F449" s="235" t="s">
        <v>4</v>
      </c>
      <c r="G449" s="235" t="s">
        <v>5</v>
      </c>
      <c r="H449" s="235" t="s">
        <v>6</v>
      </c>
      <c r="I449" s="236" t="s">
        <v>77</v>
      </c>
      <c r="J449" s="306"/>
      <c r="K449" s="506" t="str">
        <f t="shared" si="145"/>
        <v/>
      </c>
      <c r="L449" s="306" t="str">
        <f>IFERROR(VLOOKUP(B450,'Aktuelle Einnahmen'!A2:J104,10,0),"")</f>
        <v/>
      </c>
      <c r="M449" s="510" t="str">
        <f>M439</f>
        <v>Stufe C</v>
      </c>
      <c r="N449" s="237"/>
      <c r="O449" s="238"/>
      <c r="P449" s="238"/>
      <c r="Q449" s="239"/>
      <c r="R449" s="240"/>
      <c r="S449" s="241"/>
      <c r="T449" s="241"/>
      <c r="U449" s="242"/>
      <c r="V449" s="243"/>
      <c r="W449" s="241"/>
      <c r="X449" s="241"/>
      <c r="Y449" s="242"/>
      <c r="Z449" s="243"/>
      <c r="AA449" s="241"/>
      <c r="AB449" s="241"/>
      <c r="AC449" s="242"/>
      <c r="AD449" s="243"/>
      <c r="AE449" s="241"/>
      <c r="AF449" s="241"/>
      <c r="AG449" s="242"/>
      <c r="AH449" s="240"/>
      <c r="AI449" s="241"/>
      <c r="AJ449" s="241"/>
      <c r="AK449" s="377"/>
      <c r="AL449" s="347"/>
      <c r="AM449" s="353"/>
      <c r="AN449" s="353"/>
      <c r="AO449" s="353"/>
      <c r="AP449" s="353"/>
      <c r="AQ449" s="349"/>
      <c r="AR449" s="768"/>
      <c r="AS449" s="768"/>
      <c r="AT449" s="768"/>
      <c r="BM449" s="335"/>
    </row>
    <row r="450" spans="1:65" ht="23" customHeight="1">
      <c r="A450" s="181">
        <f t="shared" si="144"/>
        <v>45292</v>
      </c>
      <c r="B450" s="182">
        <v>45</v>
      </c>
      <c r="C450" s="245">
        <f>IFERROR(VLOOKUP($B450,'Aktuelle Einnahmen'!A2:G104,3,0),"")</f>
        <v>0</v>
      </c>
      <c r="D450" s="246">
        <f>IFERROR(VLOOKUP($B450,'Aktuelle Einnahmen'!A2:G104,2,0),"")</f>
        <v>0</v>
      </c>
      <c r="E450" s="247">
        <f>IFERROR(VLOOKUP($B450,'Aktuelle Einnahmen'!A2:G104,4,0),"")</f>
        <v>0</v>
      </c>
      <c r="F450" s="94">
        <f>IFERROR(VLOOKUP($B450,'Aktuelle Einnahmen'!A2:G104,5,0),"")</f>
        <v>0</v>
      </c>
      <c r="G450" s="94">
        <f>IFERROR(VLOOKUP($B450,'Aktuelle Einnahmen'!A2:G104,6,0),"")</f>
        <v>0</v>
      </c>
      <c r="H450" s="94">
        <f>IFERROR(VLOOKUP($B450,'Aktuelle Einnahmen'!A2:G104,7,0),"")</f>
        <v>0</v>
      </c>
      <c r="I450" s="186" t="e">
        <f>DATE(H450,G450,F450)</f>
        <v>#NUM!</v>
      </c>
      <c r="J450" s="472">
        <f ca="1">J440</f>
        <v>45475</v>
      </c>
      <c r="K450" s="501" t="str">
        <f t="shared" si="145"/>
        <v>+Inflat.-P</v>
      </c>
      <c r="L450" s="1262" t="str">
        <f>IFERROR(VLOOKUP(B450,'Aktuelle Einnahmen'!A12:I114,9,0),"")</f>
        <v>Auswahl treffen</v>
      </c>
      <c r="M450" s="1263"/>
      <c r="N450" s="261"/>
      <c r="O450" s="261"/>
      <c r="P450" s="261"/>
      <c r="Q450" s="261"/>
      <c r="R450" s="189"/>
      <c r="S450" s="190"/>
      <c r="T450" s="190"/>
      <c r="U450" s="191"/>
      <c r="V450" s="192"/>
      <c r="W450" s="190"/>
      <c r="X450" s="190"/>
      <c r="Y450" s="191"/>
      <c r="Z450" s="192"/>
      <c r="AA450" s="190"/>
      <c r="AB450" s="190"/>
      <c r="AC450" s="191"/>
      <c r="AD450" s="192"/>
      <c r="AE450" s="190"/>
      <c r="AF450" s="190"/>
      <c r="AG450" s="191"/>
      <c r="AH450" s="193"/>
      <c r="AI450" s="190"/>
      <c r="AJ450" s="190"/>
      <c r="AK450" s="374"/>
      <c r="AL450" s="348"/>
      <c r="AM450" s="354"/>
      <c r="AN450" s="354"/>
      <c r="AO450" s="354"/>
      <c r="AP450" s="354"/>
      <c r="AQ450" s="350"/>
      <c r="AR450" s="769"/>
      <c r="AS450" s="769"/>
      <c r="AT450" s="769"/>
      <c r="BM450" s="335"/>
    </row>
    <row r="451" spans="1:65" ht="22.25" customHeight="1">
      <c r="A451" s="181">
        <f t="shared" si="144"/>
        <v>45292</v>
      </c>
      <c r="B451" s="484" t="e">
        <f>DAY(I450)</f>
        <v>#NUM!</v>
      </c>
      <c r="C451" s="489" t="s">
        <v>158</v>
      </c>
      <c r="D451" s="520" t="e">
        <f>(I451*4)+J451/3+1</f>
        <v>#NUM!</v>
      </c>
      <c r="E451" s="194" t="e">
        <f>J453+1</f>
        <v>#NUM!</v>
      </c>
      <c r="F451" s="195" t="e">
        <f t="shared" ref="F451:F458" si="161">DAY(E451)</f>
        <v>#NUM!</v>
      </c>
      <c r="G451" s="196" t="e">
        <f t="shared" ref="G451:G458" si="162">MONTH(E451)</f>
        <v>#NUM!</v>
      </c>
      <c r="H451" s="195" t="e">
        <f t="shared" ref="H451:H458" si="163">YEAR(E451)</f>
        <v>#NUM!</v>
      </c>
      <c r="I451" s="197" t="e">
        <f>H451-(H450+2000)</f>
        <v>#NUM!</v>
      </c>
      <c r="J451" s="198" t="e">
        <f>G451-G450</f>
        <v>#NUM!</v>
      </c>
      <c r="K451" s="506" t="str">
        <f>L449</f>
        <v/>
      </c>
      <c r="L451" s="469"/>
      <c r="M451" s="473" t="e">
        <f ca="1">SUM(J450-E452)&amp;" Tage"</f>
        <v>#NUM!</v>
      </c>
      <c r="N451" s="206"/>
      <c r="O451" s="201"/>
      <c r="P451" s="201"/>
      <c r="Q451" s="202"/>
      <c r="R451" s="189"/>
      <c r="S451" s="203"/>
      <c r="T451" s="203"/>
      <c r="U451" s="204"/>
      <c r="V451" s="192"/>
      <c r="W451" s="203"/>
      <c r="X451" s="203"/>
      <c r="Y451" s="204"/>
      <c r="Z451" s="192"/>
      <c r="AA451" s="203"/>
      <c r="AB451" s="203"/>
      <c r="AC451" s="204"/>
      <c r="AD451" s="192"/>
      <c r="AE451" s="203"/>
      <c r="AF451" s="203"/>
      <c r="AG451" s="204"/>
      <c r="AH451" s="193"/>
      <c r="AI451" s="203"/>
      <c r="AJ451" s="203"/>
      <c r="AK451" s="375"/>
      <c r="AL451" s="348"/>
      <c r="AM451" s="354"/>
      <c r="AN451" s="354"/>
      <c r="AO451" s="354"/>
      <c r="AP451" s="354"/>
      <c r="AQ451" s="350"/>
      <c r="AR451" s="769"/>
      <c r="AS451" s="769"/>
      <c r="AT451" s="769"/>
      <c r="BM451" s="335"/>
    </row>
    <row r="452" spans="1:65" ht="22.25" customHeight="1">
      <c r="A452" s="181">
        <f t="shared" si="144"/>
        <v>45292</v>
      </c>
      <c r="B452" s="485"/>
      <c r="C452" s="490"/>
      <c r="D452" s="521"/>
      <c r="E452" s="194" t="e">
        <f>DATE(YEAR(E451),MONTH(E451)+3,DAY(E451)-1)</f>
        <v>#NUM!</v>
      </c>
      <c r="F452" s="195" t="e">
        <f t="shared" si="161"/>
        <v>#NUM!</v>
      </c>
      <c r="G452" s="196" t="e">
        <f t="shared" si="162"/>
        <v>#NUM!</v>
      </c>
      <c r="H452" s="195" t="e">
        <f t="shared" si="163"/>
        <v>#NUM!</v>
      </c>
      <c r="I452" s="244">
        <v>-1</v>
      </c>
      <c r="J452" s="198" t="e">
        <f>F451-F450</f>
        <v>#NUM!</v>
      </c>
      <c r="K452" s="501" t="str">
        <f t="shared" si="145"/>
        <v>+Inflat.-P</v>
      </c>
      <c r="L452" s="511" t="e">
        <f>IF(M449="Stufe A",IF(AND(L450="Auswahl treffen",D451&gt;=0,D451&lt;=1000),J449,IF(AND(L450="Vermögend und ambulant",D451&gt;8,D451&lt;=1000),130,IF(AND(L450="Vermögend und ambulant",D451&gt;4,D451&lt;=8),158,IF(AND(L450="Vermögend und ambulant",D451&gt;2,D451&lt;=4),192,IF(AND(L450="Vermögend und ambulant",D451&gt;1,D451&lt;=2),208,IF(AND(L450="Vermögend und ambulant",D451&gt;0,D451&lt;=1),298,IF(AND(L450="Vermögend und stationär",D451&gt;8,D451&lt;=1000),78,IF(AND(L450="Vermögend und stationär",D451&gt;4,D451&lt;=8),91,IF(AND(L450="Vermögend und stationär",D451&gt;2,D451&lt;=4),140,IF(AND(L450="Vermögend und stationär",D451&gt;1,D451&lt;=2),158,IF(AND(L450="Vermögend und stationär",D451&gt;0,D451&lt;=1),200,IF(AND(L450="Mittellos und ambulant",D451&gt;8,D451&lt;=1000),105,IF(AND(L450="Mittellos und ambulant",D451&gt;4,D451&lt;=8),122,IF(AND(L450="Mittellos und ambulant",D451&gt;2,D451&lt;=4),151,IF(AND(L450="Mittellos und ambulant",D451&gt;1,D451&lt;=2),170,IF(AND(L450="Mittellos und ambulant",D451&gt;0,D451&lt;=1),208,IF(AND(L450="Mittellos und stationär",D451&gt;8,D451&lt;=1000),62,IF(AND(L450="Mittellos und stationär",D451&gt;4,D451&lt;=8),87,IF(AND(L450="Mittellos und stationär",D451&gt;2,D451&lt;=4),124,IF(AND(L450="Mittellos und stationär",D451&gt;1,D451&lt;=2),129,IF(AND(L450="Mittellos und stationär",D451&gt;0,D451&lt;=1),194,""))))))))))))))))))))),IF(M449="Stufe B",IF(AND(L450="Auswahl treffen",D451&gt;=0,D451&lt;=1000),J449,IF(AND(L450="Vermögend und ambulant",D451&gt;8,D451&lt;=1000),161,IF(AND(L450="Vermögend und ambulant",D451&gt;4,D451&lt;=8),196,IF(AND(L450="Vermögend und ambulant",D451&gt;2,D451&lt;=4),238,IF(AND(L450="Vermögend und ambulant",D451&gt;1,D451&lt;=2),258,IF(AND(L450="Vermögend und ambulant",D451&gt;0,D451&lt;=1),370,IF(AND(L450="Vermögend und stationär",D451&gt;8,D451&lt;=1000),96,IF(AND(L450="Vermögend und stationär",D451&gt;4,D451&lt;=8),113,IF(AND(L450="Vermögend und stationär",D451&gt;2,D451&lt;=4),174,IF(AND(L450="Vermögend und stationär",D451&gt;1,D451&lt;=2),196,IF(AND(L450="Vermögend und stationär",D451&gt;0,D451&lt;=1),249,IF(AND(L450="Mittellos und ambulant",D451&gt;8,D451&lt;=1000),130,IF(AND(L450="Mittellos und ambulant",D451&gt;4,D451&lt;=8),151,IF(AND(L450="Mittellos und ambulant",D451&gt;2,D451&lt;=4),188,IF(AND(L450="Mittellos und ambulant",D451&gt;1,D451&lt;=2),211,IF(AND(L450="Mittellos und ambulant",D451&gt;0,D451&lt;=1),258,IF(AND(L450="Mittellos und stationär",D451&gt;8,D451&lt;=1000),78,IF(AND(L450="Mittellos und stationär",D451&gt;4,D451&lt;=8),107,IF(AND(L450="Mittellos und stationär",D451&gt;2,D451&lt;=4),154,IF(AND(L450="Mittellos und stationär",D451&gt;1,D451&lt;=2),158,IF(AND(L450="Mittellos und stationär",D451&gt;0,D451&lt;=1),241,""))))))))))))))))))))),IF(M449="Stufe C",IF(AND(L450="Auswahl treffen",D451&gt;=0,D451&lt;=1000),J449,IF(AND(L450="Vermögend und ambulant",D451&gt;8,D451&lt;=1000),211,IF(AND(L450="Vermögend und ambulant",D451&gt;4,D451&lt;=8),257,IF(AND(L450="Vermögend und ambulant",D451&gt;2,D451&lt;=4),312,IF(AND(L450="Vermögend und ambulant",D451&gt;1,D451&lt;=2),339,IF(AND(L450="Vermögend und ambulant",D451&gt;0,D451&lt;=1),486,IF(AND(L450="Vermögend und stationär",D451&gt;8,D451&lt;=1000),127,IF(AND(L450="Vermögend und stationär",D451&gt;4,D451&lt;=8),149,IF(AND(L450="Vermögend und stationär",D451&gt;2,D451&lt;=4),229,IF(AND(L450="Vermögend und stationär",D451&gt;1,D451&lt;=2),257,IF(AND(L450="Vermögend und stationär",D451&gt;0,D451&lt;=1),327,IF(AND(L450="Mittellos und ambulant",D451&gt;8,D451&lt;=1000),171,IF(AND(L450="Mittellos und ambulant",D451&gt;4,D451&lt;=8),198,IF(AND(L450="Mittellos und ambulant",D451&gt;2,D451&lt;=4),246,IF(AND(L450="Mittellos und ambulant",D451&gt;1,D451&lt;=2),277,IF(AND(L450="Mittellos und ambulant",D451&gt;0,D451&lt;=1),339,IF(AND(L450="Mittellos und stationär",D451&gt;8,D451&lt;=1000),102,IF(AND(L450="Mittellos und stationär",D451&gt;4,D451&lt;=8),141,IF(AND(L450="Mittellos und stationär",D451&gt;2,D451&lt;=4),202,IF(AND(L450="Mittellos und stationär",D451&gt;1,D451&lt;=2),208,IF(AND(L450="Mittellos und stationär",D451&gt;0,D451&lt;=1),317,""))))))))))))))))))))),"")))*3+(J449*90)</f>
        <v>#NUM!</v>
      </c>
      <c r="M452" s="507" t="str">
        <f>CONCATENATE(K452, K451)</f>
        <v>+Inflat.-P</v>
      </c>
      <c r="N452" s="206" t="s">
        <v>118</v>
      </c>
      <c r="O452" s="207"/>
      <c r="P452" s="207"/>
      <c r="Q452" s="208"/>
      <c r="R452" s="187"/>
      <c r="S452" s="209" t="s">
        <v>118</v>
      </c>
      <c r="T452" s="201" t="s">
        <v>117</v>
      </c>
      <c r="U452" s="210" t="s">
        <v>26</v>
      </c>
      <c r="V452" s="192"/>
      <c r="W452" s="203"/>
      <c r="X452" s="203"/>
      <c r="Y452" s="210"/>
      <c r="Z452" s="192"/>
      <c r="AA452" s="203"/>
      <c r="AB452" s="203"/>
      <c r="AC452" s="210"/>
      <c r="AD452" s="192"/>
      <c r="AE452" s="203"/>
      <c r="AF452" s="203"/>
      <c r="AG452" s="210"/>
      <c r="AH452" s="193"/>
      <c r="AI452" s="203"/>
      <c r="AJ452" s="203"/>
      <c r="AK452" s="376"/>
      <c r="AL452" s="348" t="s">
        <v>148</v>
      </c>
      <c r="AM452" s="354">
        <f>IF(SUM(N450:N458)=SUM(S450:S458), 0, SUM(N450:N458)-SUM(S450:S458))</f>
        <v>0</v>
      </c>
      <c r="AN452" s="354"/>
      <c r="AO452" s="354"/>
      <c r="AP452" s="354"/>
      <c r="AQ452" s="350">
        <f>AM452+AN452+AO452+AP452</f>
        <v>0</v>
      </c>
      <c r="AR452" s="769"/>
      <c r="AS452" s="769"/>
      <c r="AT452" s="769"/>
      <c r="BM452" s="335"/>
    </row>
    <row r="453" spans="1:65" ht="22.25" customHeight="1">
      <c r="A453" s="181">
        <f t="shared" si="144"/>
        <v>45292</v>
      </c>
      <c r="B453" s="484" t="e">
        <f>MONTH(I450)</f>
        <v>#NUM!</v>
      </c>
      <c r="C453" s="489" t="s">
        <v>158</v>
      </c>
      <c r="D453" s="522" t="e">
        <f>D451+1</f>
        <v>#NUM!</v>
      </c>
      <c r="E453" s="211" t="e">
        <f>DATE(YEAR(E452),MONTH(E452),DAY(E452)+1)</f>
        <v>#NUM!</v>
      </c>
      <c r="F453" s="212" t="e">
        <f t="shared" si="161"/>
        <v>#NUM!</v>
      </c>
      <c r="G453" s="213" t="e">
        <f t="shared" si="162"/>
        <v>#NUM!</v>
      </c>
      <c r="H453" s="212" t="e">
        <f t="shared" si="163"/>
        <v>#NUM!</v>
      </c>
      <c r="I453" s="214" t="str">
        <f>IF(D450&lt;&gt;0,"-1T","")</f>
        <v/>
      </c>
      <c r="J453" s="215" t="e">
        <f>DATE($B455,I454,$B451)</f>
        <v>#NUM!</v>
      </c>
      <c r="K453" s="501" t="str">
        <f t="shared" si="145"/>
        <v/>
      </c>
      <c r="L453" s="470"/>
      <c r="M453" s="473" t="e">
        <f ca="1">SUM(J450-E454)&amp;" Tage"</f>
        <v>#NUM!</v>
      </c>
      <c r="N453" s="216"/>
      <c r="O453" s="217"/>
      <c r="P453" s="188"/>
      <c r="Q453" s="217"/>
      <c r="R453" s="189"/>
      <c r="S453" s="190"/>
      <c r="T453" s="190"/>
      <c r="U453" s="191"/>
      <c r="V453" s="192"/>
      <c r="W453" s="190"/>
      <c r="X453" s="190"/>
      <c r="Y453" s="191"/>
      <c r="Z453" s="192"/>
      <c r="AA453" s="190"/>
      <c r="AB453" s="190"/>
      <c r="AC453" s="191"/>
      <c r="AD453" s="192"/>
      <c r="AE453" s="190"/>
      <c r="AF453" s="190"/>
      <c r="AG453" s="191"/>
      <c r="AH453" s="193"/>
      <c r="AI453" s="190"/>
      <c r="AJ453" s="190"/>
      <c r="AK453" s="374"/>
      <c r="AL453" s="348"/>
      <c r="AM453" s="354"/>
      <c r="AN453" s="354"/>
      <c r="AO453" s="354"/>
      <c r="AP453" s="354"/>
      <c r="AQ453" s="350"/>
      <c r="AR453" s="769"/>
      <c r="AS453" s="769"/>
      <c r="AT453" s="769"/>
      <c r="BM453" s="335"/>
    </row>
    <row r="454" spans="1:65" ht="22.25" customHeight="1">
      <c r="A454" s="181">
        <f t="shared" si="144"/>
        <v>45292</v>
      </c>
      <c r="B454" s="485"/>
      <c r="C454" s="490"/>
      <c r="D454" s="521"/>
      <c r="E454" s="218" t="e">
        <f>DATE(YEAR(E453),MONTH(E453)+3,DAY(E453)-1)</f>
        <v>#NUM!</v>
      </c>
      <c r="F454" s="212" t="e">
        <f t="shared" si="161"/>
        <v>#NUM!</v>
      </c>
      <c r="G454" s="213" t="e">
        <f t="shared" si="162"/>
        <v>#NUM!</v>
      </c>
      <c r="H454" s="212" t="e">
        <f t="shared" si="163"/>
        <v>#NUM!</v>
      </c>
      <c r="I454" s="219">
        <f>MAX(I455:I458)</f>
        <v>9</v>
      </c>
      <c r="J454" s="220" t="e">
        <f>DATE(YEAR(J453)+1,MONTH(J453),DAY(J453))</f>
        <v>#NUM!</v>
      </c>
      <c r="K454" s="506" t="str">
        <f t="shared" si="145"/>
        <v>+Inflat.-P</v>
      </c>
      <c r="L454" s="508" t="e">
        <f>IF(M449="Stufe A",IF(AND(L450="Auswahl treffen",D453&gt;=0,D453&lt;=1000),J449,IF(AND(L450="Vermögend und ambulant",D453&gt;8,D453&lt;=1000),130,IF(AND(L450="Vermögend und ambulant",D453&gt;4,D453&lt;=8),158,IF(AND(L450="Vermögend und ambulant",D453&gt;2,D453&lt;=4),192,IF(AND(L450="Vermögend und ambulant",D453&gt;1,D453&lt;=2),208,IF(AND(L450="Vermögend und ambulant",D453&gt;0,D453&lt;=1),298,IF(AND(L450="Vermögend und stationär",D453&gt;8,D453&lt;=1000),78,IF(AND(L450="Vermögend und stationär",D453&gt;4,D453&lt;=8),91,IF(AND(L450="Vermögend und stationär",D453&gt;2,D453&lt;=4),140,IF(AND(L450="Vermögend und stationär",D453&gt;1,D453&lt;=2),158,IF(AND(L450="Vermögend und stationär",D453&gt;0,D453&lt;=1),200,IF(AND(L450="Mittellos und ambulant",D453&gt;8,D453&lt;=1000),105,IF(AND(L450="Mittellos und ambulant",D453&gt;4,D453&lt;=8),122,IF(AND(L450="Mittellos und ambulant",D453&gt;2,D453&lt;=4),151,IF(AND(L450="Mittellos und ambulant",D453&gt;1,D453&lt;=2),170,IF(AND(L450="Mittellos und ambulant",D453&gt;0,D453&lt;=1),208,IF(AND(L450="Mittellos und stationär",D453&gt;8,D453&lt;=1000),62,IF(AND(L450="Mittellos und stationär",D453&gt;4,D453&lt;=8),87,IF(AND(L450="Mittellos und stationär",D453&gt;2,D453&lt;=4),124,IF(AND(L450="Mittellos und stationär",D453&gt;1,D453&lt;=2),129,IF(AND(L450="Mittellos und stationär",D453&gt;0,D453&lt;=1),194,""))))))))))))))))))))),IF(M449="Stufe B",IF(AND(L450="Auswahl treffen",D453&gt;=0,D453&lt;=1000),J449,IF(AND(L450="Vermögend und ambulant",D453&gt;8,D453&lt;=1000),161,IF(AND(L450="Vermögend und ambulant",D453&gt;4,D453&lt;=8),196,IF(AND(L450="Vermögend und ambulant",D453&gt;2,D453&lt;=4),238,IF(AND(L450="Vermögend und ambulant",D453&gt;1,D453&lt;=2),258,IF(AND(L450="Vermögend und ambulant",D453&gt;0,D453&lt;=1),370,IF(AND(L450="Vermögend und stationär",D453&gt;8,D453&lt;=1000),96,IF(AND(L450="Vermögend und stationär",D453&gt;4,D453&lt;=8),113,IF(AND(L450="Vermögend und stationär",D453&gt;2,D453&lt;=4),174,IF(AND(L450="Vermögend und stationär",D453&gt;1,D453&lt;=2),196,IF(AND(L450="Vermögend und stationär",D453&gt;0,D453&lt;=1),249,IF(AND(L450="Mittellos und ambulant",D453&gt;8,D453&lt;=1000),130,IF(AND(L450="Mittellos und ambulant",D453&gt;4,D453&lt;=8),151,IF(AND(L450="Mittellos und ambulant",D453&gt;2,D453&lt;=4),188,IF(AND(L450="Mittellos und ambulant",D453&gt;1,D453&lt;=2),211,IF(AND(L450="Mittellos und ambulant",D453&gt;0,D453&lt;=1),258,IF(AND(L450="Mittellos und stationär",D453&gt;8,D453&lt;=1000),78,IF(AND(L450="Mittellos und stationär",D453&gt;4,D453&lt;=8),107,IF(AND(L450="Mittellos und stationär",D453&gt;2,D453&lt;=4),154,IF(AND(L450="Mittellos und stationär",D453&gt;1,D453&lt;=2),158,IF(AND(L450="Mittellos und stationär",D453&gt;0,D453&lt;=1),241,""))))))))))))))))))))),IF(M449="Stufe C",IF(AND(L450="Auswahl treffen",D453&gt;=0,D453&lt;=1000),J449,IF(AND(L450="Vermögend und ambulant",D453&gt;8,D453&lt;=1000),211,IF(AND(L450="Vermögend und ambulant",D453&gt;4,D453&lt;=8),257,IF(AND(L450="Vermögend und ambulant",D453&gt;2,D453&lt;=4),312,IF(AND(L450="Vermögend und ambulant",D453&gt;1,D453&lt;=2),339,IF(AND(L450="Vermögend und ambulant",D453&gt;0,D453&lt;=1),486,IF(AND(L450="Vermögend und stationär",D453&gt;8,D453&lt;=1000),127,IF(AND(L450="Vermögend und stationär",D453&gt;4,D453&lt;=8),149,IF(AND(L450="Vermögend und stationär",D453&gt;2,D453&lt;=4),229,IF(AND(L450="Vermögend und stationär",D453&gt;1,D453&lt;=2),257,IF(AND(L450="Vermögend und stationär",D453&gt;0,D453&lt;=1),327,IF(AND(L450="Mittellos und ambulant",D453&gt;8,D453&lt;=1000),171,IF(AND(L450="Mittellos und ambulant",D453&gt;4,D453&lt;=8),198,IF(AND(L450="Mittellos und ambulant",D453&gt;2,D453&lt;=4),246,IF(AND(L450="Mittellos und ambulant",D453&gt;1,D453&lt;=2),277,IF(AND(L450="Mittellos und ambulant",D453&gt;0,D453&lt;=1),339,IF(AND(L450="Mittellos und stationär",D453&gt;8,D453&lt;=1000),102,IF(AND(L450="Mittellos und stationär",D453&gt;4,D453&lt;=8),141,IF(AND(L450="Mittellos und stationär",D453&gt;2,D453&lt;=4),202,IF(AND(L450="Mittellos und stationär",D453&gt;1,D453&lt;=2),208,IF(AND(L450="Mittellos und stationär",D453&gt;0,D453&lt;=1),317,""))))))))))))))))))))),"")))*3+(J449*90)</f>
        <v>#NUM!</v>
      </c>
      <c r="M454" s="507" t="str">
        <f>CONCATENATE(K454, K453)</f>
        <v>+Inflat.-P</v>
      </c>
      <c r="N454" s="216"/>
      <c r="O454" s="188" t="s">
        <v>118</v>
      </c>
      <c r="P454" s="188"/>
      <c r="Q454" s="221"/>
      <c r="R454" s="199"/>
      <c r="S454" s="190"/>
      <c r="T454" s="190"/>
      <c r="U454" s="191"/>
      <c r="V454" s="192"/>
      <c r="W454" s="222" t="s">
        <v>118</v>
      </c>
      <c r="X454" s="222" t="s">
        <v>117</v>
      </c>
      <c r="Y454" s="191" t="s">
        <v>26</v>
      </c>
      <c r="Z454" s="192"/>
      <c r="AA454" s="190"/>
      <c r="AB454" s="190"/>
      <c r="AC454" s="191"/>
      <c r="AD454" s="192"/>
      <c r="AE454" s="190"/>
      <c r="AF454" s="190"/>
      <c r="AG454" s="191"/>
      <c r="AH454" s="193"/>
      <c r="AI454" s="190"/>
      <c r="AJ454" s="190"/>
      <c r="AK454" s="374"/>
      <c r="AL454" s="348" t="s">
        <v>149</v>
      </c>
      <c r="AM454" s="354"/>
      <c r="AN454" s="354">
        <f>IF(SUM(O450:O458)=SUM(W450:W458), 0, SUM(O450:O458)-SUM(W450:W458))</f>
        <v>0</v>
      </c>
      <c r="AO454" s="354"/>
      <c r="AP454" s="354"/>
      <c r="AQ454" s="350">
        <f>AM454+AN454+AO454+AP454</f>
        <v>0</v>
      </c>
      <c r="AR454" s="769"/>
      <c r="AS454" s="769"/>
      <c r="AT454" s="769"/>
      <c r="BM454" s="335"/>
    </row>
    <row r="455" spans="1:65" ht="22.25" customHeight="1">
      <c r="A455" s="181">
        <f t="shared" si="144"/>
        <v>45292</v>
      </c>
      <c r="B455" s="484">
        <f>YEAR($A456)-1</f>
        <v>2023</v>
      </c>
      <c r="C455" s="489" t="s">
        <v>158</v>
      </c>
      <c r="D455" s="520" t="e">
        <f>D453+1</f>
        <v>#NUM!</v>
      </c>
      <c r="E455" s="194" t="e">
        <f>DATE(YEAR(E454),MONTH(E454),DAY(E454)+1)</f>
        <v>#NUM!</v>
      </c>
      <c r="F455" s="195" t="e">
        <f t="shared" si="161"/>
        <v>#NUM!</v>
      </c>
      <c r="G455" s="196" t="e">
        <f t="shared" si="162"/>
        <v>#NUM!</v>
      </c>
      <c r="H455" s="195" t="e">
        <f t="shared" si="163"/>
        <v>#NUM!</v>
      </c>
      <c r="I455" s="197">
        <f>IF(J457&lt;13,J457,"")</f>
        <v>9</v>
      </c>
      <c r="J455" s="224">
        <f>G450</f>
        <v>0</v>
      </c>
      <c r="K455" s="501" t="str">
        <f t="shared" si="145"/>
        <v/>
      </c>
      <c r="L455" s="471"/>
      <c r="M455" s="473" t="e">
        <f ca="1">SUM(J450-E456)&amp;" Tage"</f>
        <v>#NUM!</v>
      </c>
      <c r="N455" s="200"/>
      <c r="O455" s="201"/>
      <c r="P455" s="201"/>
      <c r="Q455" s="202"/>
      <c r="R455" s="189"/>
      <c r="S455" s="203"/>
      <c r="T455" s="203"/>
      <c r="U455" s="204"/>
      <c r="V455" s="192"/>
      <c r="W455" s="203"/>
      <c r="X455" s="203"/>
      <c r="Y455" s="204"/>
      <c r="Z455" s="192"/>
      <c r="AA455" s="203"/>
      <c r="AB455" s="203"/>
      <c r="AC455" s="204"/>
      <c r="AD455" s="192"/>
      <c r="AE455" s="203"/>
      <c r="AF455" s="203"/>
      <c r="AG455" s="204"/>
      <c r="AH455" s="193"/>
      <c r="AI455" s="203"/>
      <c r="AJ455" s="203"/>
      <c r="AK455" s="375"/>
      <c r="AL455" s="348"/>
      <c r="AM455" s="354"/>
      <c r="AN455" s="354"/>
      <c r="AO455" s="354"/>
      <c r="AP455" s="354"/>
      <c r="AQ455" s="350"/>
      <c r="AR455" s="769"/>
      <c r="AS455" s="769"/>
      <c r="AT455" s="769"/>
      <c r="BM455" s="335"/>
    </row>
    <row r="456" spans="1:65" ht="22.25" customHeight="1">
      <c r="A456" s="181">
        <f t="shared" si="144"/>
        <v>45292</v>
      </c>
      <c r="B456" s="485"/>
      <c r="C456" s="490"/>
      <c r="D456" s="521"/>
      <c r="E456" s="194" t="e">
        <f>DATE(YEAR(E455),MONTH(E455)+3,DAY(E455)-1)</f>
        <v>#NUM!</v>
      </c>
      <c r="F456" s="195" t="e">
        <f t="shared" si="161"/>
        <v>#NUM!</v>
      </c>
      <c r="G456" s="196" t="e">
        <f t="shared" si="162"/>
        <v>#NUM!</v>
      </c>
      <c r="H456" s="195" t="e">
        <f t="shared" si="163"/>
        <v>#NUM!</v>
      </c>
      <c r="I456" s="244">
        <f>IF(J458&lt;13,J458,"")</f>
        <v>6</v>
      </c>
      <c r="J456" s="224">
        <f>J455+3</f>
        <v>3</v>
      </c>
      <c r="K456" s="506" t="str">
        <f t="shared" si="145"/>
        <v>+Inflat.-P</v>
      </c>
      <c r="L456" s="511" t="e">
        <f>IF(M449="Stufe A",IF(AND(L450="Auswahl treffen",D455&gt;=0,D455&lt;=1000),J449,IF(AND(L450="Vermögend und ambulant",D455&gt;8,D455&lt;=1000),130,IF(AND(L450="Vermögend und ambulant",D455&gt;4,D455&lt;=8),158,IF(AND(L450="Vermögend und ambulant",D455&gt;2,D455&lt;=4),192,IF(AND(L450="Vermögend und ambulant",D455&gt;1,D455&lt;=2),208,IF(AND(L450="Vermögend und ambulant",D455&gt;0,D455&lt;=1),298,IF(AND(L450="Vermögend und stationär",D455&gt;8,D455&lt;=1000),78,IF(AND(L450="Vermögend und stationär",D455&gt;4,D455&lt;=8),91,IF(AND(L450="Vermögend und stationär",D455&gt;2,D455&lt;=4),140,IF(AND(L450="Vermögend und stationär",D455&gt;1,D455&lt;=2),158,IF(AND(L450="Vermögend und stationär",D455&gt;0,D455&lt;=1),200,IF(AND(L450="Mittellos und ambulant",D455&gt;8,D455&lt;=1000),105,IF(AND(L450="Mittellos und ambulant",D455&gt;4,D455&lt;=8),122,IF(AND(L450="Mittellos und ambulant",D455&gt;2,D455&lt;=4),151,IF(AND(L450="Mittellos und ambulant",D455&gt;1,D455&lt;=2),170,IF(AND(L450="Mittellos und ambulant",D455&gt;0,D455&lt;=1),208,IF(AND(L450="Mittellos und stationär",D455&gt;8,D455&lt;=1000),62,IF(AND(L450="Mittellos und stationär",D455&gt;4,D455&lt;=8),87,IF(AND(L450="Mittellos und stationär",D455&gt;2,D455&lt;=4),124,IF(AND(L450="Mittellos und stationär",D455&gt;1,D455&lt;=2),129,IF(AND(L450="Mittellos und stationär",D455&gt;0,D455&lt;=1),194,""))))))))))))))))))))),IF(M449="Stufe B",IF(AND(L450="Auswahl treffen",D455&gt;=0,D455&lt;=1000),J449,IF(AND(L450="Vermögend und ambulant",D455&gt;8,D455&lt;=1000),161,IF(AND(L450="Vermögend und ambulant",D455&gt;4,D455&lt;=8),196,IF(AND(L450="Vermögend und ambulant",D455&gt;2,D455&lt;=4),238,IF(AND(L450="Vermögend und ambulant",D455&gt;1,D455&lt;=2),258,IF(AND(L450="Vermögend und ambulant",D455&gt;0,D455&lt;=1),370,IF(AND(L450="Vermögend und stationär",D455&gt;8,D455&lt;=1000),96,IF(AND(L450="Vermögend und stationär",D455&gt;4,D455&lt;=8),113,IF(AND(L450="Vermögend und stationär",D455&gt;2,D455&lt;=4),174,IF(AND(L450="Vermögend und stationär",D455&gt;1,D455&lt;=2),196,IF(AND(L450="Vermögend und stationär",D455&gt;0,D455&lt;=1),249,IF(AND(L450="Mittellos und ambulant",D455&gt;8,D455&lt;=1000),130,IF(AND(L450="Mittellos und ambulant",D455&gt;4,D455&lt;=8),151,IF(AND(L450="Mittellos und ambulant",D455&gt;2,D455&lt;=4),188,IF(AND(L450="Mittellos und ambulant",D455&gt;1,D455&lt;=2),211,IF(AND(L450="Mittellos und ambulant",D455&gt;0,D455&lt;=1),258,IF(AND(L450="Mittellos und stationär",D455&gt;8,D455&lt;=1000),78,IF(AND(L450="Mittellos und stationär",D455&gt;4,D455&lt;=8),107,IF(AND(L450="Mittellos und stationär",D455&gt;2,D455&lt;=4),154,IF(AND(L450="Mittellos und stationär",D455&gt;1,D455&lt;=2),158,IF(AND(L450="Mittellos und stationär",D455&gt;0,D455&lt;=1),241,""))))))))))))))))))))),IF(M449="Stufe C",IF(AND(L450="Auswahl treffen",D455&gt;=0,D455&lt;=1000),J449,IF(AND(L450="Vermögend und ambulant",D455&gt;8,D455&lt;=1000),211,IF(AND(L450="Vermögend und ambulant",D455&gt;4,D455&lt;=8),257,IF(AND(L450="Vermögend und ambulant",D455&gt;2,D455&lt;=4),312,IF(AND(L450="Vermögend und ambulant",D455&gt;1,D455&lt;=2),339,IF(AND(L450="Vermögend und ambulant",D455&gt;0,D455&lt;=1),486,IF(AND(L450="Vermögend und stationär",D455&gt;8,D455&lt;=1000),127,IF(AND(L450="Vermögend und stationär",D455&gt;4,D455&lt;=8),149,IF(AND(L450="Vermögend und stationär",D455&gt;2,D455&lt;=4),229,IF(AND(L450="Vermögend und stationär",D455&gt;1,D455&lt;=2),257,IF(AND(L450="Vermögend und stationär",D455&gt;0,D455&lt;=1),327,IF(AND(L450="Mittellos und ambulant",D455&gt;8,D455&lt;=1000),171,IF(AND(L450="Mittellos und ambulant",D455&gt;4,D455&lt;=8),198,IF(AND(L450="Mittellos und ambulant",D455&gt;2,D455&lt;=4),246,IF(AND(L450="Mittellos und ambulant",D455&gt;1,D455&lt;=2),277,IF(AND(L450="Mittellos und ambulant",D455&gt;0,D455&lt;=1),339,IF(AND(L450="Mittellos und stationär",D455&gt;8,D455&lt;=1000),102,IF(AND(L450="Mittellos und stationär",D455&gt;4,D455&lt;=8),141,IF(AND(L450="Mittellos und stationär",D455&gt;2,D455&lt;=4),202,IF(AND(L450="Mittellos und stationär",D455&gt;1,D455&lt;=2),208,IF(AND(L450="Mittellos und stationär",D455&gt;0,D455&lt;=1),317,""))))))))))))))))))))),"")))*3+(J449*90)</f>
        <v>#NUM!</v>
      </c>
      <c r="M456" s="507" t="str">
        <f>CONCATENATE(K456, K455)</f>
        <v>+Inflat.-P</v>
      </c>
      <c r="N456" s="206"/>
      <c r="O456" s="207"/>
      <c r="P456" s="206" t="s">
        <v>118</v>
      </c>
      <c r="Q456" s="226"/>
      <c r="R456" s="189"/>
      <c r="S456" s="203"/>
      <c r="T456" s="203"/>
      <c r="U456" s="204"/>
      <c r="V456" s="192"/>
      <c r="W456" s="203"/>
      <c r="X456" s="203"/>
      <c r="Y456" s="204"/>
      <c r="Z456" s="192"/>
      <c r="AA456" s="209" t="s">
        <v>118</v>
      </c>
      <c r="AB456" s="209" t="s">
        <v>117</v>
      </c>
      <c r="AC456" s="204" t="s">
        <v>26</v>
      </c>
      <c r="AD456" s="192"/>
      <c r="AE456" s="203"/>
      <c r="AF456" s="203"/>
      <c r="AG456" s="204"/>
      <c r="AH456" s="193"/>
      <c r="AI456" s="203"/>
      <c r="AJ456" s="203"/>
      <c r="AK456" s="375"/>
      <c r="AL456" s="348" t="s">
        <v>150</v>
      </c>
      <c r="AM456" s="354"/>
      <c r="AN456" s="354"/>
      <c r="AO456" s="354">
        <f>IF(SUM(P450:P458)=SUM(AA450:AA458), 0, SUM(P450:P458)-SUM(AA450:AA458))</f>
        <v>0</v>
      </c>
      <c r="AP456" s="354"/>
      <c r="AQ456" s="350">
        <f>AM456+AN456+AO456+AP456</f>
        <v>0</v>
      </c>
      <c r="AR456" s="769"/>
      <c r="AS456" s="769"/>
      <c r="AT456" s="769"/>
      <c r="BM456" s="335"/>
    </row>
    <row r="457" spans="1:65" ht="22.25" customHeight="1">
      <c r="A457" s="181">
        <f t="shared" ref="A457:A520" si="164">$A456</f>
        <v>45292</v>
      </c>
      <c r="B457" s="486"/>
      <c r="C457" s="489" t="s">
        <v>158</v>
      </c>
      <c r="D457" s="522" t="e">
        <f>D455+1</f>
        <v>#NUM!</v>
      </c>
      <c r="E457" s="211" t="e">
        <f>DATE(YEAR(E456),MONTH(E456),DAY(E456)+1)</f>
        <v>#NUM!</v>
      </c>
      <c r="F457" s="227" t="e">
        <f t="shared" si="161"/>
        <v>#NUM!</v>
      </c>
      <c r="G457" s="228" t="e">
        <f t="shared" si="162"/>
        <v>#NUM!</v>
      </c>
      <c r="H457" s="227" t="e">
        <f t="shared" si="163"/>
        <v>#NUM!</v>
      </c>
      <c r="I457" s="231">
        <f>IF(J456&lt;13,J456,"")</f>
        <v>3</v>
      </c>
      <c r="J457" s="230">
        <f>J458+3</f>
        <v>9</v>
      </c>
      <c r="K457" s="501" t="str">
        <f t="shared" si="145"/>
        <v/>
      </c>
      <c r="L457" s="471"/>
      <c r="M457" s="473" t="e">
        <f ca="1">SUM(J450-E458)&amp;" Tage"</f>
        <v>#NUM!</v>
      </c>
      <c r="N457" s="216"/>
      <c r="O457" s="188"/>
      <c r="P457" s="188"/>
      <c r="Q457" s="217"/>
      <c r="R457" s="189"/>
      <c r="S457" s="190"/>
      <c r="T457" s="190"/>
      <c r="U457" s="191"/>
      <c r="V457" s="192"/>
      <c r="W457" s="190"/>
      <c r="X457" s="190"/>
      <c r="Y457" s="191"/>
      <c r="Z457" s="192"/>
      <c r="AA457" s="190"/>
      <c r="AB457" s="190"/>
      <c r="AC457" s="191"/>
      <c r="AD457" s="192"/>
      <c r="AE457" s="190"/>
      <c r="AF457" s="190"/>
      <c r="AG457" s="191"/>
      <c r="AH457" s="193"/>
      <c r="AI457" s="190"/>
      <c r="AJ457" s="190"/>
      <c r="AK457" s="374"/>
      <c r="AL457" s="348"/>
      <c r="AM457" s="354"/>
      <c r="AN457" s="354"/>
      <c r="AO457" s="354"/>
      <c r="AP457" s="354"/>
      <c r="AQ457" s="350"/>
      <c r="AR457" s="769"/>
      <c r="AS457" s="769"/>
      <c r="AT457" s="769"/>
      <c r="BM457" s="335"/>
    </row>
    <row r="458" spans="1:65" ht="22.25" customHeight="1">
      <c r="A458" s="181">
        <f t="shared" si="164"/>
        <v>45292</v>
      </c>
      <c r="B458" s="485"/>
      <c r="C458" s="490"/>
      <c r="D458" s="521"/>
      <c r="E458" s="218" t="e">
        <f>DATE(YEAR(E457),MONTH(E457)+3,DAY(E457)-1)</f>
        <v>#NUM!</v>
      </c>
      <c r="F458" s="227" t="e">
        <f t="shared" si="161"/>
        <v>#NUM!</v>
      </c>
      <c r="G458" s="228" t="e">
        <f t="shared" si="162"/>
        <v>#NUM!</v>
      </c>
      <c r="H458" s="227" t="e">
        <f t="shared" si="163"/>
        <v>#NUM!</v>
      </c>
      <c r="I458" s="231">
        <f>IF(J455&lt;13,J455,"")</f>
        <v>0</v>
      </c>
      <c r="J458" s="230">
        <f>J456+3</f>
        <v>6</v>
      </c>
      <c r="K458" s="506" t="str">
        <f t="shared" si="145"/>
        <v>+Inflat.-P</v>
      </c>
      <c r="L458" s="508" t="e">
        <f>IF(M449="Stufe A",IF(AND(L450="Auswahl treffen",D457&gt;=0,D457&lt;=1000),J449,IF(AND(L450="Vermögend und ambulant",D457&gt;8,D457&lt;=1000),130,IF(AND(L450="Vermögend und ambulant",D457&gt;4,D457&lt;=8),158,IF(AND(L450="Vermögend und ambulant",D457&gt;2,D457&lt;=4),192,IF(AND(L450="Vermögend und ambulant",D457&gt;1,D457&lt;=2),208,IF(AND(L450="Vermögend und ambulant",D457&gt;0,D457&lt;=1),298,IF(AND(L450="Vermögend und stationär",D457&gt;8,D457&lt;=1000),78,IF(AND(L450="Vermögend und stationär",D457&gt;4,D457&lt;=8),91,IF(AND(L450="Vermögend und stationär",D457&gt;2,D457&lt;=4),140,IF(AND(L450="Vermögend und stationär",D457&gt;1,D457&lt;=2),158,IF(AND(L450="Vermögend und stationär",D457&gt;0,D457&lt;=1),200,IF(AND(L450="Mittellos und ambulant",D457&gt;8,D457&lt;=1000),105,IF(AND(L450="Mittellos und ambulant",D457&gt;4,D457&lt;=8),122,IF(AND(L450="Mittellos und ambulant",D457&gt;2,D457&lt;=4),151,IF(AND(L450="Mittellos und ambulant",D457&gt;1,D457&lt;=2),170,IF(AND(L450="Mittellos und ambulant",D457&gt;0,D457&lt;=1),208,IF(AND(L450="Mittellos und stationär",D457&gt;8,D457&lt;=1000),62,IF(AND(L450="Mittellos und stationär",D457&gt;4,D457&lt;=8),87,IF(AND(L450="Mittellos und stationär",D457&gt;2,D457&lt;=4),124,IF(AND(L450="Mittellos und stationär",D457&gt;1,D457&lt;=2),129,IF(AND(L450="Mittellos und stationär",D457&gt;0,D457&lt;=1),194,""))))))))))))))))))))),IF(M449="Stufe B",IF(AND(L450="Auswahl treffen",D457&gt;=0,D457&lt;=1000),J449,IF(AND(L450="Vermögend und ambulant",D457&gt;8,D457&lt;=1000),161,IF(AND(L450="Vermögend und ambulant",D457&gt;4,D457&lt;=8),196,IF(AND(L450="Vermögend und ambulant",D457&gt;2,D457&lt;=4),238,IF(AND(L450="Vermögend und ambulant",D457&gt;1,D457&lt;=2),258,IF(AND(L450="Vermögend und ambulant",D457&gt;0,D457&lt;=1),370,IF(AND(L450="Vermögend und stationär",D457&gt;8,D457&lt;=1000),96,IF(AND(L450="Vermögend und stationär",D457&gt;4,D457&lt;=8),113,IF(AND(L450="Vermögend und stationär",D457&gt;2,D457&lt;=4),174,IF(AND(L450="Vermögend und stationär",D457&gt;1,D457&lt;=2),196,IF(AND(L450="Vermögend und stationär",D457&gt;0,D457&lt;=1),249,IF(AND(L450="Mittellos und ambulant",D457&gt;8,D457&lt;=1000),130,IF(AND(L450="Mittellos und ambulant",D457&gt;4,D457&lt;=8),151,IF(AND(L450="Mittellos und ambulant",D457&gt;2,D457&lt;=4),188,IF(AND(L450="Mittellos und ambulant",D457&gt;1,D457&lt;=2),211,IF(AND(L450="Mittellos und ambulant",D457&gt;0,D457&lt;=1),258,IF(AND(L450="Mittellos und stationär",D457&gt;8,D457&lt;=1000),78,IF(AND(L450="Mittellos und stationär",D457&gt;4,D457&lt;=8),107,IF(AND(L450="Mittellos und stationär",D457&gt;2,D457&lt;=4),154,IF(AND(L450="Mittellos und stationär",D457&gt;1,D457&lt;=2),158,IF(AND(L450="Mittellos und stationär",D457&gt;0,D457&lt;=1),241,""))))))))))))))))))))),IF(M449="Stufe C",IF(AND(L450="Auswahl treffen",D457&gt;=0,D457&lt;=1000),J449,IF(AND(L450="Vermögend und ambulant",D457&gt;8,D457&lt;=1000),211,IF(AND(L450="Vermögend und ambulant",D457&gt;4,D457&lt;=8),257,IF(AND(L450="Vermögend und ambulant",D457&gt;2,D457&lt;=4),312,IF(AND(L450="Vermögend und ambulant",D457&gt;1,D457&lt;=2),339,IF(AND(L450="Vermögend und ambulant",D457&gt;0,D457&lt;=1),486,IF(AND(L450="Vermögend und stationär",D457&gt;8,D457&lt;=1000),127,IF(AND(L450="Vermögend und stationär",D457&gt;4,D457&lt;=8),149,IF(AND(L450="Vermögend und stationär",D457&gt;2,D457&lt;=4),229,IF(AND(L450="Vermögend und stationär",D457&gt;1,D457&lt;=2),257,IF(AND(L450="Vermögend und stationär",D457&gt;0,D457&lt;=1),327,IF(AND(L450="Mittellos und ambulant",D457&gt;8,D457&lt;=1000),171,IF(AND(L450="Mittellos und ambulant",D457&gt;4,D457&lt;=8),198,IF(AND(L450="Mittellos und ambulant",D457&gt;2,D457&lt;=4),246,IF(AND(L450="Mittellos und ambulant",D457&gt;1,D457&lt;=2),277,IF(AND(L450="Mittellos und ambulant",D457&gt;0,D457&lt;=1),339,IF(AND(L450="Mittellos und stationär",D457&gt;8,D457&lt;=1000),102,IF(AND(L450="Mittellos und stationär",D457&gt;4,D457&lt;=8),141,IF(AND(L450="Mittellos und stationär",D457&gt;2,D457&lt;=4),202,IF(AND(L450="Mittellos und stationär",D457&gt;1,D457&lt;=2),208,IF(AND(L450="Mittellos und stationär",D457&gt;0,D457&lt;=1),317,""))))))))))))))))))))),"")))*3+(J449*90)</f>
        <v>#NUM!</v>
      </c>
      <c r="M458" s="507" t="str">
        <f>CONCATENATE(K458, K457)</f>
        <v>+Inflat.-P</v>
      </c>
      <c r="N458" s="216"/>
      <c r="O458" s="188"/>
      <c r="P458" s="188"/>
      <c r="Q458" s="217" t="s">
        <v>118</v>
      </c>
      <c r="R458" s="189"/>
      <c r="S458" s="190"/>
      <c r="T458" s="190"/>
      <c r="U458" s="191"/>
      <c r="V458" s="192"/>
      <c r="W458" s="190"/>
      <c r="X458" s="190"/>
      <c r="Y458" s="191"/>
      <c r="Z458" s="192"/>
      <c r="AA458" s="190"/>
      <c r="AB458" s="190"/>
      <c r="AC458" s="191"/>
      <c r="AD458" s="192"/>
      <c r="AE458" s="190" t="s">
        <v>118</v>
      </c>
      <c r="AF458" s="190" t="s">
        <v>117</v>
      </c>
      <c r="AG458" s="191" t="s">
        <v>26</v>
      </c>
      <c r="AH458" s="193"/>
      <c r="AI458" s="190" t="s">
        <v>118</v>
      </c>
      <c r="AJ458" s="190" t="s">
        <v>117</v>
      </c>
      <c r="AK458" s="374" t="s">
        <v>26</v>
      </c>
      <c r="AL458" s="348" t="s">
        <v>151</v>
      </c>
      <c r="AM458" s="354"/>
      <c r="AN458" s="354"/>
      <c r="AO458" s="354"/>
      <c r="AP458" s="354">
        <f>IF(SUM(Q450:Q458)=SUM(AE450:AE458,AI450:AI458), 0, SUM(Q450:Q458)-SUM(AE450:AE458,AI450:AI458))</f>
        <v>0</v>
      </c>
      <c r="AQ458" s="350">
        <f>AM458+AN458+AO458+AP458</f>
        <v>0</v>
      </c>
      <c r="AR458" s="769"/>
      <c r="AS458" s="769"/>
      <c r="AT458" s="769"/>
      <c r="BM458" s="335"/>
    </row>
    <row r="459" spans="1:65" ht="22" customHeight="1">
      <c r="A459" s="181">
        <f t="shared" si="164"/>
        <v>45292</v>
      </c>
      <c r="B459" s="232" t="s">
        <v>74</v>
      </c>
      <c r="C459" s="233" t="s">
        <v>75</v>
      </c>
      <c r="D459" s="234" t="s">
        <v>76</v>
      </c>
      <c r="E459" s="235" t="s">
        <v>11</v>
      </c>
      <c r="F459" s="235" t="s">
        <v>4</v>
      </c>
      <c r="G459" s="235" t="s">
        <v>5</v>
      </c>
      <c r="H459" s="235" t="s">
        <v>6</v>
      </c>
      <c r="I459" s="236" t="s">
        <v>77</v>
      </c>
      <c r="J459" s="306"/>
      <c r="K459" s="501" t="str">
        <f t="shared" si="145"/>
        <v/>
      </c>
      <c r="L459" s="306" t="str">
        <f>IFERROR(VLOOKUP(B460,'Aktuelle Einnahmen'!A2:J104,10,0),"")</f>
        <v/>
      </c>
      <c r="M459" s="510" t="str">
        <f>M449</f>
        <v>Stufe C</v>
      </c>
      <c r="N459" s="237"/>
      <c r="O459" s="238"/>
      <c r="P459" s="238"/>
      <c r="Q459" s="239"/>
      <c r="R459" s="240"/>
      <c r="S459" s="241"/>
      <c r="T459" s="241"/>
      <c r="U459" s="242"/>
      <c r="V459" s="243"/>
      <c r="W459" s="241"/>
      <c r="X459" s="241"/>
      <c r="Y459" s="242"/>
      <c r="Z459" s="243"/>
      <c r="AA459" s="241"/>
      <c r="AB459" s="241"/>
      <c r="AC459" s="242"/>
      <c r="AD459" s="243"/>
      <c r="AE459" s="241"/>
      <c r="AF459" s="241"/>
      <c r="AG459" s="242"/>
      <c r="AH459" s="240"/>
      <c r="AI459" s="241"/>
      <c r="AJ459" s="241"/>
      <c r="AK459" s="377"/>
      <c r="AL459" s="347"/>
      <c r="AM459" s="353"/>
      <c r="AN459" s="353"/>
      <c r="AO459" s="353"/>
      <c r="AP459" s="353"/>
      <c r="AQ459" s="349"/>
      <c r="AR459" s="768"/>
      <c r="AS459" s="768"/>
      <c r="AT459" s="768"/>
      <c r="BM459" s="335"/>
    </row>
    <row r="460" spans="1:65" ht="23" customHeight="1">
      <c r="A460" s="181">
        <f t="shared" si="164"/>
        <v>45292</v>
      </c>
      <c r="B460" s="182">
        <v>46</v>
      </c>
      <c r="C460" s="245">
        <f>IFERROR(VLOOKUP($B460,'Aktuelle Einnahmen'!A2:G104,3,0),"")</f>
        <v>0</v>
      </c>
      <c r="D460" s="246">
        <f>IFERROR(VLOOKUP($B460,'Aktuelle Einnahmen'!A2:G104,2,0),"")</f>
        <v>0</v>
      </c>
      <c r="E460" s="247">
        <f>IFERROR(VLOOKUP($B460,'Aktuelle Einnahmen'!A2:G104,4,0),"")</f>
        <v>0</v>
      </c>
      <c r="F460" s="94">
        <f>IFERROR(VLOOKUP($B460,'Aktuelle Einnahmen'!A2:G104,5,0),"")</f>
        <v>0</v>
      </c>
      <c r="G460" s="94">
        <f>IFERROR(VLOOKUP($B460,'Aktuelle Einnahmen'!A2:G104,6,0),"")</f>
        <v>0</v>
      </c>
      <c r="H460" s="94">
        <f>IFERROR(VLOOKUP($B460,'Aktuelle Einnahmen'!A2:G104,7,0),"")</f>
        <v>0</v>
      </c>
      <c r="I460" s="186" t="e">
        <f>DATE(H460,G460,F460)</f>
        <v>#NUM!</v>
      </c>
      <c r="J460" s="472">
        <f ca="1">J450</f>
        <v>45475</v>
      </c>
      <c r="K460" s="501" t="str">
        <f t="shared" si="145"/>
        <v>+Inflat.-P</v>
      </c>
      <c r="L460" s="1262" t="str">
        <f>IFERROR(VLOOKUP(B460,'Aktuelle Einnahmen'!A12:I114,9,0),"")</f>
        <v>Auswahl treffen</v>
      </c>
      <c r="M460" s="1263"/>
      <c r="N460" s="261"/>
      <c r="O460" s="261"/>
      <c r="P460" s="261"/>
      <c r="Q460" s="261"/>
      <c r="R460" s="189"/>
      <c r="S460" s="190"/>
      <c r="T460" s="190"/>
      <c r="U460" s="191"/>
      <c r="V460" s="192"/>
      <c r="W460" s="190"/>
      <c r="X460" s="190"/>
      <c r="Y460" s="191"/>
      <c r="Z460" s="192"/>
      <c r="AA460" s="190"/>
      <c r="AB460" s="190"/>
      <c r="AC460" s="191"/>
      <c r="AD460" s="192"/>
      <c r="AE460" s="190"/>
      <c r="AF460" s="190"/>
      <c r="AG460" s="191"/>
      <c r="AH460" s="193"/>
      <c r="AI460" s="190"/>
      <c r="AJ460" s="190"/>
      <c r="AK460" s="374"/>
      <c r="AL460" s="348"/>
      <c r="AM460" s="354"/>
      <c r="AN460" s="354"/>
      <c r="AO460" s="354"/>
      <c r="AP460" s="354"/>
      <c r="AQ460" s="350"/>
      <c r="AR460" s="769"/>
      <c r="AS460" s="769"/>
      <c r="AT460" s="769"/>
      <c r="BM460" s="335"/>
    </row>
    <row r="461" spans="1:65" ht="22.25" customHeight="1">
      <c r="A461" s="181">
        <f t="shared" si="164"/>
        <v>45292</v>
      </c>
      <c r="B461" s="484" t="e">
        <f>DAY(I460)</f>
        <v>#NUM!</v>
      </c>
      <c r="C461" s="489" t="s">
        <v>158</v>
      </c>
      <c r="D461" s="520" t="e">
        <f>(I461*4)+J461/3+1</f>
        <v>#NUM!</v>
      </c>
      <c r="E461" s="194" t="e">
        <f>J463+1</f>
        <v>#NUM!</v>
      </c>
      <c r="F461" s="195" t="e">
        <f t="shared" ref="F461:F468" si="165">DAY(E461)</f>
        <v>#NUM!</v>
      </c>
      <c r="G461" s="196" t="e">
        <f t="shared" ref="G461:G468" si="166">MONTH(E461)</f>
        <v>#NUM!</v>
      </c>
      <c r="H461" s="195" t="e">
        <f t="shared" ref="H461:H468" si="167">YEAR(E461)</f>
        <v>#NUM!</v>
      </c>
      <c r="I461" s="197" t="e">
        <f>H461-(H460+2000)</f>
        <v>#NUM!</v>
      </c>
      <c r="J461" s="198" t="e">
        <f>G461-G460</f>
        <v>#NUM!</v>
      </c>
      <c r="K461" s="506" t="str">
        <f>L459</f>
        <v/>
      </c>
      <c r="L461" s="469"/>
      <c r="M461" s="473" t="e">
        <f ca="1">SUM(J460-E462)&amp;" Tage"</f>
        <v>#NUM!</v>
      </c>
      <c r="N461" s="206"/>
      <c r="O461" s="201"/>
      <c r="P461" s="201"/>
      <c r="Q461" s="202"/>
      <c r="R461" s="189"/>
      <c r="S461" s="203"/>
      <c r="T461" s="203"/>
      <c r="U461" s="204"/>
      <c r="V461" s="192"/>
      <c r="W461" s="203"/>
      <c r="X461" s="203"/>
      <c r="Y461" s="204"/>
      <c r="Z461" s="192"/>
      <c r="AA461" s="203"/>
      <c r="AB461" s="203"/>
      <c r="AC461" s="204"/>
      <c r="AD461" s="192"/>
      <c r="AE461" s="203"/>
      <c r="AF461" s="203"/>
      <c r="AG461" s="204"/>
      <c r="AH461" s="193"/>
      <c r="AI461" s="203"/>
      <c r="AJ461" s="203"/>
      <c r="AK461" s="375"/>
      <c r="AL461" s="348"/>
      <c r="AM461" s="354"/>
      <c r="AN461" s="354"/>
      <c r="AO461" s="354"/>
      <c r="AP461" s="354"/>
      <c r="AQ461" s="350"/>
      <c r="AR461" s="769"/>
      <c r="AS461" s="769"/>
      <c r="AT461" s="769"/>
      <c r="BM461" s="335"/>
    </row>
    <row r="462" spans="1:65" ht="22.25" customHeight="1">
      <c r="A462" s="181">
        <f t="shared" si="164"/>
        <v>45292</v>
      </c>
      <c r="B462" s="485"/>
      <c r="C462" s="490"/>
      <c r="D462" s="521"/>
      <c r="E462" s="194" t="e">
        <f>DATE(YEAR(E461),MONTH(E461)+3,DAY(E461)-1)</f>
        <v>#NUM!</v>
      </c>
      <c r="F462" s="195" t="e">
        <f t="shared" si="165"/>
        <v>#NUM!</v>
      </c>
      <c r="G462" s="196" t="e">
        <f t="shared" si="166"/>
        <v>#NUM!</v>
      </c>
      <c r="H462" s="195" t="e">
        <f t="shared" si="167"/>
        <v>#NUM!</v>
      </c>
      <c r="I462" s="244">
        <v>-1</v>
      </c>
      <c r="J462" s="198" t="e">
        <f>F461-F460</f>
        <v>#NUM!</v>
      </c>
      <c r="K462" s="501" t="str">
        <f t="shared" ref="K462:K525" si="168">K460</f>
        <v>+Inflat.-P</v>
      </c>
      <c r="L462" s="511" t="e">
        <f>IF(M459="Stufe A",IF(AND(L460="Auswahl treffen",D461&gt;=0,D461&lt;=1000),J459,IF(AND(L460="Vermögend und ambulant",D461&gt;8,D461&lt;=1000),130,IF(AND(L460="Vermögend und ambulant",D461&gt;4,D461&lt;=8),158,IF(AND(L460="Vermögend und ambulant",D461&gt;2,D461&lt;=4),192,IF(AND(L460="Vermögend und ambulant",D461&gt;1,D461&lt;=2),208,IF(AND(L460="Vermögend und ambulant",D461&gt;0,D461&lt;=1),298,IF(AND(L460="Vermögend und stationär",D461&gt;8,D461&lt;=1000),78,IF(AND(L460="Vermögend und stationär",D461&gt;4,D461&lt;=8),91,IF(AND(L460="Vermögend und stationär",D461&gt;2,D461&lt;=4),140,IF(AND(L460="Vermögend und stationär",D461&gt;1,D461&lt;=2),158,IF(AND(L460="Vermögend und stationär",D461&gt;0,D461&lt;=1),200,IF(AND(L460="Mittellos und ambulant",D461&gt;8,D461&lt;=1000),105,IF(AND(L460="Mittellos und ambulant",D461&gt;4,D461&lt;=8),122,IF(AND(L460="Mittellos und ambulant",D461&gt;2,D461&lt;=4),151,IF(AND(L460="Mittellos und ambulant",D461&gt;1,D461&lt;=2),170,IF(AND(L460="Mittellos und ambulant",D461&gt;0,D461&lt;=1),208,IF(AND(L460="Mittellos und stationär",D461&gt;8,D461&lt;=1000),62,IF(AND(L460="Mittellos und stationär",D461&gt;4,D461&lt;=8),87,IF(AND(L460="Mittellos und stationär",D461&gt;2,D461&lt;=4),124,IF(AND(L460="Mittellos und stationär",D461&gt;1,D461&lt;=2),129,IF(AND(L460="Mittellos und stationär",D461&gt;0,D461&lt;=1),194,""))))))))))))))))))))),IF(M459="Stufe B",IF(AND(L460="Auswahl treffen",D461&gt;=0,D461&lt;=1000),J459,IF(AND(L460="Vermögend und ambulant",D461&gt;8,D461&lt;=1000),161,IF(AND(L460="Vermögend und ambulant",D461&gt;4,D461&lt;=8),196,IF(AND(L460="Vermögend und ambulant",D461&gt;2,D461&lt;=4),238,IF(AND(L460="Vermögend und ambulant",D461&gt;1,D461&lt;=2),258,IF(AND(L460="Vermögend und ambulant",D461&gt;0,D461&lt;=1),370,IF(AND(L460="Vermögend und stationär",D461&gt;8,D461&lt;=1000),96,IF(AND(L460="Vermögend und stationär",D461&gt;4,D461&lt;=8),113,IF(AND(L460="Vermögend und stationär",D461&gt;2,D461&lt;=4),174,IF(AND(L460="Vermögend und stationär",D461&gt;1,D461&lt;=2),196,IF(AND(L460="Vermögend und stationär",D461&gt;0,D461&lt;=1),249,IF(AND(L460="Mittellos und ambulant",D461&gt;8,D461&lt;=1000),130,IF(AND(L460="Mittellos und ambulant",D461&gt;4,D461&lt;=8),151,IF(AND(L460="Mittellos und ambulant",D461&gt;2,D461&lt;=4),188,IF(AND(L460="Mittellos und ambulant",D461&gt;1,D461&lt;=2),211,IF(AND(L460="Mittellos und ambulant",D461&gt;0,D461&lt;=1),258,IF(AND(L460="Mittellos und stationär",D461&gt;8,D461&lt;=1000),78,IF(AND(L460="Mittellos und stationär",D461&gt;4,D461&lt;=8),107,IF(AND(L460="Mittellos und stationär",D461&gt;2,D461&lt;=4),154,IF(AND(L460="Mittellos und stationär",D461&gt;1,D461&lt;=2),158,IF(AND(L460="Mittellos und stationär",D461&gt;0,D461&lt;=1),241,""))))))))))))))))))))),IF(M459="Stufe C",IF(AND(L460="Auswahl treffen",D461&gt;=0,D461&lt;=1000),J459,IF(AND(L460="Vermögend und ambulant",D461&gt;8,D461&lt;=1000),211,IF(AND(L460="Vermögend und ambulant",D461&gt;4,D461&lt;=8),257,IF(AND(L460="Vermögend und ambulant",D461&gt;2,D461&lt;=4),312,IF(AND(L460="Vermögend und ambulant",D461&gt;1,D461&lt;=2),339,IF(AND(L460="Vermögend und ambulant",D461&gt;0,D461&lt;=1),486,IF(AND(L460="Vermögend und stationär",D461&gt;8,D461&lt;=1000),127,IF(AND(L460="Vermögend und stationär",D461&gt;4,D461&lt;=8),149,IF(AND(L460="Vermögend und stationär",D461&gt;2,D461&lt;=4),229,IF(AND(L460="Vermögend und stationär",D461&gt;1,D461&lt;=2),257,IF(AND(L460="Vermögend und stationär",D461&gt;0,D461&lt;=1),327,IF(AND(L460="Mittellos und ambulant",D461&gt;8,D461&lt;=1000),171,IF(AND(L460="Mittellos und ambulant",D461&gt;4,D461&lt;=8),198,IF(AND(L460="Mittellos und ambulant",D461&gt;2,D461&lt;=4),246,IF(AND(L460="Mittellos und ambulant",D461&gt;1,D461&lt;=2),277,IF(AND(L460="Mittellos und ambulant",D461&gt;0,D461&lt;=1),339,IF(AND(L460="Mittellos und stationär",D461&gt;8,D461&lt;=1000),102,IF(AND(L460="Mittellos und stationär",D461&gt;4,D461&lt;=8),141,IF(AND(L460="Mittellos und stationär",D461&gt;2,D461&lt;=4),202,IF(AND(L460="Mittellos und stationär",D461&gt;1,D461&lt;=2),208,IF(AND(L460="Mittellos und stationär",D461&gt;0,D461&lt;=1),317,""))))))))))))))))))))),"")))*3+(J459*90)</f>
        <v>#NUM!</v>
      </c>
      <c r="M462" s="507" t="str">
        <f>CONCATENATE(K462, K461)</f>
        <v>+Inflat.-P</v>
      </c>
      <c r="N462" s="206" t="s">
        <v>118</v>
      </c>
      <c r="O462" s="207"/>
      <c r="P462" s="207"/>
      <c r="Q462" s="208"/>
      <c r="R462" s="187"/>
      <c r="S462" s="209" t="s">
        <v>118</v>
      </c>
      <c r="T462" s="201" t="s">
        <v>117</v>
      </c>
      <c r="U462" s="210" t="s">
        <v>26</v>
      </c>
      <c r="V462" s="192"/>
      <c r="W462" s="203"/>
      <c r="X462" s="203"/>
      <c r="Y462" s="210"/>
      <c r="Z462" s="192"/>
      <c r="AA462" s="203"/>
      <c r="AB462" s="203"/>
      <c r="AC462" s="210"/>
      <c r="AD462" s="192"/>
      <c r="AE462" s="203"/>
      <c r="AF462" s="203"/>
      <c r="AG462" s="210"/>
      <c r="AH462" s="193"/>
      <c r="AI462" s="203"/>
      <c r="AJ462" s="203"/>
      <c r="AK462" s="376"/>
      <c r="AL462" s="348" t="s">
        <v>148</v>
      </c>
      <c r="AM462" s="354">
        <f>IF(SUM(N460:N468)=SUM(S460:S468), 0, SUM(N460:N468)-SUM(S460:S468))</f>
        <v>0</v>
      </c>
      <c r="AN462" s="354"/>
      <c r="AO462" s="354"/>
      <c r="AP462" s="354"/>
      <c r="AQ462" s="350">
        <f>AM462+AN462+AO462+AP462</f>
        <v>0</v>
      </c>
      <c r="AR462" s="769"/>
      <c r="AS462" s="769"/>
      <c r="AT462" s="769"/>
      <c r="BM462" s="335"/>
    </row>
    <row r="463" spans="1:65" ht="22.25" customHeight="1">
      <c r="A463" s="181">
        <f t="shared" si="164"/>
        <v>45292</v>
      </c>
      <c r="B463" s="484" t="e">
        <f>MONTH(I460)</f>
        <v>#NUM!</v>
      </c>
      <c r="C463" s="489" t="s">
        <v>158</v>
      </c>
      <c r="D463" s="522" t="e">
        <f>D461+1</f>
        <v>#NUM!</v>
      </c>
      <c r="E463" s="211" t="e">
        <f>DATE(YEAR(E462),MONTH(E462),DAY(E462)+1)</f>
        <v>#NUM!</v>
      </c>
      <c r="F463" s="212" t="e">
        <f t="shared" si="165"/>
        <v>#NUM!</v>
      </c>
      <c r="G463" s="213" t="e">
        <f t="shared" si="166"/>
        <v>#NUM!</v>
      </c>
      <c r="H463" s="212" t="e">
        <f t="shared" si="167"/>
        <v>#NUM!</v>
      </c>
      <c r="I463" s="214" t="str">
        <f>IF(D460&lt;&gt;0,"-1T","")</f>
        <v/>
      </c>
      <c r="J463" s="215" t="e">
        <f>DATE($B465,I464,$B461)</f>
        <v>#NUM!</v>
      </c>
      <c r="K463" s="506" t="str">
        <f t="shared" si="168"/>
        <v/>
      </c>
      <c r="L463" s="470"/>
      <c r="M463" s="473" t="e">
        <f ca="1">SUM(J460-E464)&amp;" Tage"</f>
        <v>#NUM!</v>
      </c>
      <c r="N463" s="216"/>
      <c r="O463" s="217"/>
      <c r="P463" s="188"/>
      <c r="Q463" s="217"/>
      <c r="R463" s="189"/>
      <c r="S463" s="190"/>
      <c r="T463" s="190"/>
      <c r="U463" s="191"/>
      <c r="V463" s="192"/>
      <c r="W463" s="190"/>
      <c r="X463" s="190"/>
      <c r="Y463" s="191"/>
      <c r="Z463" s="192"/>
      <c r="AA463" s="190"/>
      <c r="AB463" s="190"/>
      <c r="AC463" s="191"/>
      <c r="AD463" s="192"/>
      <c r="AE463" s="190"/>
      <c r="AF463" s="190"/>
      <c r="AG463" s="191"/>
      <c r="AH463" s="193"/>
      <c r="AI463" s="190"/>
      <c r="AJ463" s="190"/>
      <c r="AK463" s="374"/>
      <c r="AL463" s="348"/>
      <c r="AM463" s="354"/>
      <c r="AN463" s="354"/>
      <c r="AO463" s="354"/>
      <c r="AP463" s="354"/>
      <c r="AQ463" s="350"/>
      <c r="AR463" s="769"/>
      <c r="AS463" s="769"/>
      <c r="AT463" s="769"/>
      <c r="BM463" s="335"/>
    </row>
    <row r="464" spans="1:65" ht="22.25" customHeight="1">
      <c r="A464" s="181">
        <f t="shared" si="164"/>
        <v>45292</v>
      </c>
      <c r="B464" s="485"/>
      <c r="C464" s="490"/>
      <c r="D464" s="521"/>
      <c r="E464" s="218" t="e">
        <f>DATE(YEAR(E463),MONTH(E463)+3,DAY(E463)-1)</f>
        <v>#NUM!</v>
      </c>
      <c r="F464" s="212" t="e">
        <f t="shared" si="165"/>
        <v>#NUM!</v>
      </c>
      <c r="G464" s="213" t="e">
        <f t="shared" si="166"/>
        <v>#NUM!</v>
      </c>
      <c r="H464" s="212" t="e">
        <f t="shared" si="167"/>
        <v>#NUM!</v>
      </c>
      <c r="I464" s="219">
        <f>MAX(I465:I468)</f>
        <v>9</v>
      </c>
      <c r="J464" s="220" t="e">
        <f>DATE(YEAR(J463)+1,MONTH(J463),DAY(J463))</f>
        <v>#NUM!</v>
      </c>
      <c r="K464" s="501" t="str">
        <f t="shared" si="168"/>
        <v>+Inflat.-P</v>
      </c>
      <c r="L464" s="508" t="e">
        <f>IF(M459="Stufe A",IF(AND(L460="Auswahl treffen",D463&gt;=0,D463&lt;=1000),J459,IF(AND(L460="Vermögend und ambulant",D463&gt;8,D463&lt;=1000),130,IF(AND(L460="Vermögend und ambulant",D463&gt;4,D463&lt;=8),158,IF(AND(L460="Vermögend und ambulant",D463&gt;2,D463&lt;=4),192,IF(AND(L460="Vermögend und ambulant",D463&gt;1,D463&lt;=2),208,IF(AND(L460="Vermögend und ambulant",D463&gt;0,D463&lt;=1),298,IF(AND(L460="Vermögend und stationär",D463&gt;8,D463&lt;=1000),78,IF(AND(L460="Vermögend und stationär",D463&gt;4,D463&lt;=8),91,IF(AND(L460="Vermögend und stationär",D463&gt;2,D463&lt;=4),140,IF(AND(L460="Vermögend und stationär",D463&gt;1,D463&lt;=2),158,IF(AND(L460="Vermögend und stationär",D463&gt;0,D463&lt;=1),200,IF(AND(L460="Mittellos und ambulant",D463&gt;8,D463&lt;=1000),105,IF(AND(L460="Mittellos und ambulant",D463&gt;4,D463&lt;=8),122,IF(AND(L460="Mittellos und ambulant",D463&gt;2,D463&lt;=4),151,IF(AND(L460="Mittellos und ambulant",D463&gt;1,D463&lt;=2),170,IF(AND(L460="Mittellos und ambulant",D463&gt;0,D463&lt;=1),208,IF(AND(L460="Mittellos und stationär",D463&gt;8,D463&lt;=1000),62,IF(AND(L460="Mittellos und stationär",D463&gt;4,D463&lt;=8),87,IF(AND(L460="Mittellos und stationär",D463&gt;2,D463&lt;=4),124,IF(AND(L460="Mittellos und stationär",D463&gt;1,D463&lt;=2),129,IF(AND(L460="Mittellos und stationär",D463&gt;0,D463&lt;=1),194,""))))))))))))))))))))),IF(M459="Stufe B",IF(AND(L460="Auswahl treffen",D463&gt;=0,D463&lt;=1000),J459,IF(AND(L460="Vermögend und ambulant",D463&gt;8,D463&lt;=1000),161,IF(AND(L460="Vermögend und ambulant",D463&gt;4,D463&lt;=8),196,IF(AND(L460="Vermögend und ambulant",D463&gt;2,D463&lt;=4),238,IF(AND(L460="Vermögend und ambulant",D463&gt;1,D463&lt;=2),258,IF(AND(L460="Vermögend und ambulant",D463&gt;0,D463&lt;=1),370,IF(AND(L460="Vermögend und stationär",D463&gt;8,D463&lt;=1000),96,IF(AND(L460="Vermögend und stationär",D463&gt;4,D463&lt;=8),113,IF(AND(L460="Vermögend und stationär",D463&gt;2,D463&lt;=4),174,IF(AND(L460="Vermögend und stationär",D463&gt;1,D463&lt;=2),196,IF(AND(L460="Vermögend und stationär",D463&gt;0,D463&lt;=1),249,IF(AND(L460="Mittellos und ambulant",D463&gt;8,D463&lt;=1000),130,IF(AND(L460="Mittellos und ambulant",D463&gt;4,D463&lt;=8),151,IF(AND(L460="Mittellos und ambulant",D463&gt;2,D463&lt;=4),188,IF(AND(L460="Mittellos und ambulant",D463&gt;1,D463&lt;=2),211,IF(AND(L460="Mittellos und ambulant",D463&gt;0,D463&lt;=1),258,IF(AND(L460="Mittellos und stationär",D463&gt;8,D463&lt;=1000),78,IF(AND(L460="Mittellos und stationär",D463&gt;4,D463&lt;=8),107,IF(AND(L460="Mittellos und stationär",D463&gt;2,D463&lt;=4),154,IF(AND(L460="Mittellos und stationär",D463&gt;1,D463&lt;=2),158,IF(AND(L460="Mittellos und stationär",D463&gt;0,D463&lt;=1),241,""))))))))))))))))))))),IF(M459="Stufe C",IF(AND(L460="Auswahl treffen",D463&gt;=0,D463&lt;=1000),J459,IF(AND(L460="Vermögend und ambulant",D463&gt;8,D463&lt;=1000),211,IF(AND(L460="Vermögend und ambulant",D463&gt;4,D463&lt;=8),257,IF(AND(L460="Vermögend und ambulant",D463&gt;2,D463&lt;=4),312,IF(AND(L460="Vermögend und ambulant",D463&gt;1,D463&lt;=2),339,IF(AND(L460="Vermögend und ambulant",D463&gt;0,D463&lt;=1),486,IF(AND(L460="Vermögend und stationär",D463&gt;8,D463&lt;=1000),127,IF(AND(L460="Vermögend und stationär",D463&gt;4,D463&lt;=8),149,IF(AND(L460="Vermögend und stationär",D463&gt;2,D463&lt;=4),229,IF(AND(L460="Vermögend und stationär",D463&gt;1,D463&lt;=2),257,IF(AND(L460="Vermögend und stationär",D463&gt;0,D463&lt;=1),327,IF(AND(L460="Mittellos und ambulant",D463&gt;8,D463&lt;=1000),171,IF(AND(L460="Mittellos und ambulant",D463&gt;4,D463&lt;=8),198,IF(AND(L460="Mittellos und ambulant",D463&gt;2,D463&lt;=4),246,IF(AND(L460="Mittellos und ambulant",D463&gt;1,D463&lt;=2),277,IF(AND(L460="Mittellos und ambulant",D463&gt;0,D463&lt;=1),339,IF(AND(L460="Mittellos und stationär",D463&gt;8,D463&lt;=1000),102,IF(AND(L460="Mittellos und stationär",D463&gt;4,D463&lt;=8),141,IF(AND(L460="Mittellos und stationär",D463&gt;2,D463&lt;=4),202,IF(AND(L460="Mittellos und stationär",D463&gt;1,D463&lt;=2),208,IF(AND(L460="Mittellos und stationär",D463&gt;0,D463&lt;=1),317,""))))))))))))))))))))),"")))*3+(J459*90)</f>
        <v>#NUM!</v>
      </c>
      <c r="M464" s="507" t="str">
        <f>CONCATENATE(K464, K463)</f>
        <v>+Inflat.-P</v>
      </c>
      <c r="N464" s="216"/>
      <c r="O464" s="188" t="s">
        <v>118</v>
      </c>
      <c r="P464" s="188"/>
      <c r="Q464" s="221"/>
      <c r="R464" s="199"/>
      <c r="S464" s="190"/>
      <c r="T464" s="190"/>
      <c r="U464" s="191"/>
      <c r="V464" s="192"/>
      <c r="W464" s="222" t="s">
        <v>118</v>
      </c>
      <c r="X464" s="222" t="s">
        <v>117</v>
      </c>
      <c r="Y464" s="191" t="s">
        <v>26</v>
      </c>
      <c r="Z464" s="192"/>
      <c r="AA464" s="190"/>
      <c r="AB464" s="190"/>
      <c r="AC464" s="191"/>
      <c r="AD464" s="192"/>
      <c r="AE464" s="190"/>
      <c r="AF464" s="190"/>
      <c r="AG464" s="191"/>
      <c r="AH464" s="193"/>
      <c r="AI464" s="190"/>
      <c r="AJ464" s="190"/>
      <c r="AK464" s="374"/>
      <c r="AL464" s="348" t="s">
        <v>149</v>
      </c>
      <c r="AM464" s="354"/>
      <c r="AN464" s="354">
        <f>IF(SUM(O460:O468)=SUM(W460:W468), 0, SUM(O460:O468)-SUM(W460:W468))</f>
        <v>0</v>
      </c>
      <c r="AO464" s="354"/>
      <c r="AP464" s="354"/>
      <c r="AQ464" s="350">
        <f>AM464+AN464+AO464+AP464</f>
        <v>0</v>
      </c>
      <c r="AR464" s="769"/>
      <c r="AS464" s="769"/>
      <c r="AT464" s="769"/>
      <c r="BM464" s="335"/>
    </row>
    <row r="465" spans="1:65" ht="22.25" customHeight="1">
      <c r="A465" s="181">
        <f t="shared" si="164"/>
        <v>45292</v>
      </c>
      <c r="B465" s="484">
        <f>YEAR($A466)-1</f>
        <v>2023</v>
      </c>
      <c r="C465" s="489" t="s">
        <v>158</v>
      </c>
      <c r="D465" s="520" t="e">
        <f>D463+1</f>
        <v>#NUM!</v>
      </c>
      <c r="E465" s="194" t="e">
        <f>DATE(YEAR(E464),MONTH(E464),DAY(E464)+1)</f>
        <v>#NUM!</v>
      </c>
      <c r="F465" s="195" t="e">
        <f t="shared" si="165"/>
        <v>#NUM!</v>
      </c>
      <c r="G465" s="196" t="e">
        <f t="shared" si="166"/>
        <v>#NUM!</v>
      </c>
      <c r="H465" s="195" t="e">
        <f t="shared" si="167"/>
        <v>#NUM!</v>
      </c>
      <c r="I465" s="197">
        <f>IF(J467&lt;13,J467,"")</f>
        <v>9</v>
      </c>
      <c r="J465" s="224">
        <f>G460</f>
        <v>0</v>
      </c>
      <c r="K465" s="506" t="str">
        <f t="shared" si="168"/>
        <v/>
      </c>
      <c r="L465" s="471"/>
      <c r="M465" s="473" t="e">
        <f ca="1">SUM(J460-E466)&amp;" Tage"</f>
        <v>#NUM!</v>
      </c>
      <c r="N465" s="200"/>
      <c r="O465" s="201"/>
      <c r="P465" s="201"/>
      <c r="Q465" s="202"/>
      <c r="R465" s="189"/>
      <c r="S465" s="203"/>
      <c r="T465" s="203"/>
      <c r="U465" s="204"/>
      <c r="V465" s="192"/>
      <c r="W465" s="203"/>
      <c r="X465" s="203"/>
      <c r="Y465" s="204"/>
      <c r="Z465" s="192"/>
      <c r="AA465" s="203"/>
      <c r="AB465" s="203"/>
      <c r="AC465" s="204"/>
      <c r="AD465" s="192"/>
      <c r="AE465" s="203"/>
      <c r="AF465" s="203"/>
      <c r="AG465" s="204"/>
      <c r="AH465" s="193"/>
      <c r="AI465" s="203"/>
      <c r="AJ465" s="203"/>
      <c r="AK465" s="375"/>
      <c r="AL465" s="348"/>
      <c r="AM465" s="354"/>
      <c r="AN465" s="354"/>
      <c r="AO465" s="354"/>
      <c r="AP465" s="354"/>
      <c r="AQ465" s="350"/>
      <c r="AR465" s="769"/>
      <c r="AS465" s="769"/>
      <c r="AT465" s="769"/>
      <c r="BM465" s="335"/>
    </row>
    <row r="466" spans="1:65" ht="22.25" customHeight="1">
      <c r="A466" s="181">
        <f t="shared" si="164"/>
        <v>45292</v>
      </c>
      <c r="B466" s="485"/>
      <c r="C466" s="490"/>
      <c r="D466" s="521"/>
      <c r="E466" s="194" t="e">
        <f>DATE(YEAR(E465),MONTH(E465)+3,DAY(E465)-1)</f>
        <v>#NUM!</v>
      </c>
      <c r="F466" s="195" t="e">
        <f t="shared" si="165"/>
        <v>#NUM!</v>
      </c>
      <c r="G466" s="196" t="e">
        <f t="shared" si="166"/>
        <v>#NUM!</v>
      </c>
      <c r="H466" s="195" t="e">
        <f t="shared" si="167"/>
        <v>#NUM!</v>
      </c>
      <c r="I466" s="244">
        <f>IF(J468&lt;13,J468,"")</f>
        <v>6</v>
      </c>
      <c r="J466" s="224">
        <f>J465+3</f>
        <v>3</v>
      </c>
      <c r="K466" s="501" t="str">
        <f t="shared" si="168"/>
        <v>+Inflat.-P</v>
      </c>
      <c r="L466" s="511" t="e">
        <f>IF(M459="Stufe A",IF(AND(L460="Auswahl treffen",D465&gt;=0,D465&lt;=1000),J459,IF(AND(L460="Vermögend und ambulant",D465&gt;8,D465&lt;=1000),130,IF(AND(L460="Vermögend und ambulant",D465&gt;4,D465&lt;=8),158,IF(AND(L460="Vermögend und ambulant",D465&gt;2,D465&lt;=4),192,IF(AND(L460="Vermögend und ambulant",D465&gt;1,D465&lt;=2),208,IF(AND(L460="Vermögend und ambulant",D465&gt;0,D465&lt;=1),298,IF(AND(L460="Vermögend und stationär",D465&gt;8,D465&lt;=1000),78,IF(AND(L460="Vermögend und stationär",D465&gt;4,D465&lt;=8),91,IF(AND(L460="Vermögend und stationär",D465&gt;2,D465&lt;=4),140,IF(AND(L460="Vermögend und stationär",D465&gt;1,D465&lt;=2),158,IF(AND(L460="Vermögend und stationär",D465&gt;0,D465&lt;=1),200,IF(AND(L460="Mittellos und ambulant",D465&gt;8,D465&lt;=1000),105,IF(AND(L460="Mittellos und ambulant",D465&gt;4,D465&lt;=8),122,IF(AND(L460="Mittellos und ambulant",D465&gt;2,D465&lt;=4),151,IF(AND(L460="Mittellos und ambulant",D465&gt;1,D465&lt;=2),170,IF(AND(L460="Mittellos und ambulant",D465&gt;0,D465&lt;=1),208,IF(AND(L460="Mittellos und stationär",D465&gt;8,D465&lt;=1000),62,IF(AND(L460="Mittellos und stationär",D465&gt;4,D465&lt;=8),87,IF(AND(L460="Mittellos und stationär",D465&gt;2,D465&lt;=4),124,IF(AND(L460="Mittellos und stationär",D465&gt;1,D465&lt;=2),129,IF(AND(L460="Mittellos und stationär",D465&gt;0,D465&lt;=1),194,""))))))))))))))))))))),IF(M459="Stufe B",IF(AND(L460="Auswahl treffen",D465&gt;=0,D465&lt;=1000),J459,IF(AND(L460="Vermögend und ambulant",D465&gt;8,D465&lt;=1000),161,IF(AND(L460="Vermögend und ambulant",D465&gt;4,D465&lt;=8),196,IF(AND(L460="Vermögend und ambulant",D465&gt;2,D465&lt;=4),238,IF(AND(L460="Vermögend und ambulant",D465&gt;1,D465&lt;=2),258,IF(AND(L460="Vermögend und ambulant",D465&gt;0,D465&lt;=1),370,IF(AND(L460="Vermögend und stationär",D465&gt;8,D465&lt;=1000),96,IF(AND(L460="Vermögend und stationär",D465&gt;4,D465&lt;=8),113,IF(AND(L460="Vermögend und stationär",D465&gt;2,D465&lt;=4),174,IF(AND(L460="Vermögend und stationär",D465&gt;1,D465&lt;=2),196,IF(AND(L460="Vermögend und stationär",D465&gt;0,D465&lt;=1),249,IF(AND(L460="Mittellos und ambulant",D465&gt;8,D465&lt;=1000),130,IF(AND(L460="Mittellos und ambulant",D465&gt;4,D465&lt;=8),151,IF(AND(L460="Mittellos und ambulant",D465&gt;2,D465&lt;=4),188,IF(AND(L460="Mittellos und ambulant",D465&gt;1,D465&lt;=2),211,IF(AND(L460="Mittellos und ambulant",D465&gt;0,D465&lt;=1),258,IF(AND(L460="Mittellos und stationär",D465&gt;8,D465&lt;=1000),78,IF(AND(L460="Mittellos und stationär",D465&gt;4,D465&lt;=8),107,IF(AND(L460="Mittellos und stationär",D465&gt;2,D465&lt;=4),154,IF(AND(L460="Mittellos und stationär",D465&gt;1,D465&lt;=2),158,IF(AND(L460="Mittellos und stationär",D465&gt;0,D465&lt;=1),241,""))))))))))))))))))))),IF(M459="Stufe C",IF(AND(L460="Auswahl treffen",D465&gt;=0,D465&lt;=1000),J459,IF(AND(L460="Vermögend und ambulant",D465&gt;8,D465&lt;=1000),211,IF(AND(L460="Vermögend und ambulant",D465&gt;4,D465&lt;=8),257,IF(AND(L460="Vermögend und ambulant",D465&gt;2,D465&lt;=4),312,IF(AND(L460="Vermögend und ambulant",D465&gt;1,D465&lt;=2),339,IF(AND(L460="Vermögend und ambulant",D465&gt;0,D465&lt;=1),486,IF(AND(L460="Vermögend und stationär",D465&gt;8,D465&lt;=1000),127,IF(AND(L460="Vermögend und stationär",D465&gt;4,D465&lt;=8),149,IF(AND(L460="Vermögend und stationär",D465&gt;2,D465&lt;=4),229,IF(AND(L460="Vermögend und stationär",D465&gt;1,D465&lt;=2),257,IF(AND(L460="Vermögend und stationär",D465&gt;0,D465&lt;=1),327,IF(AND(L460="Mittellos und ambulant",D465&gt;8,D465&lt;=1000),171,IF(AND(L460="Mittellos und ambulant",D465&gt;4,D465&lt;=8),198,IF(AND(L460="Mittellos und ambulant",D465&gt;2,D465&lt;=4),246,IF(AND(L460="Mittellos und ambulant",D465&gt;1,D465&lt;=2),277,IF(AND(L460="Mittellos und ambulant",D465&gt;0,D465&lt;=1),339,IF(AND(L460="Mittellos und stationär",D465&gt;8,D465&lt;=1000),102,IF(AND(L460="Mittellos und stationär",D465&gt;4,D465&lt;=8),141,IF(AND(L460="Mittellos und stationär",D465&gt;2,D465&lt;=4),202,IF(AND(L460="Mittellos und stationär",D465&gt;1,D465&lt;=2),208,IF(AND(L460="Mittellos und stationär",D465&gt;0,D465&lt;=1),317,""))))))))))))))))))))),"")))*3+(J459*90)</f>
        <v>#NUM!</v>
      </c>
      <c r="M466" s="507" t="str">
        <f>CONCATENATE(K466, K465)</f>
        <v>+Inflat.-P</v>
      </c>
      <c r="N466" s="206"/>
      <c r="O466" s="207"/>
      <c r="P466" s="206" t="s">
        <v>118</v>
      </c>
      <c r="Q466" s="226"/>
      <c r="R466" s="189"/>
      <c r="S466" s="203"/>
      <c r="T466" s="203"/>
      <c r="U466" s="204"/>
      <c r="V466" s="192"/>
      <c r="W466" s="203"/>
      <c r="X466" s="203"/>
      <c r="Y466" s="204"/>
      <c r="Z466" s="192"/>
      <c r="AA466" s="209" t="s">
        <v>118</v>
      </c>
      <c r="AB466" s="209" t="s">
        <v>117</v>
      </c>
      <c r="AC466" s="204" t="s">
        <v>26</v>
      </c>
      <c r="AD466" s="192"/>
      <c r="AE466" s="203"/>
      <c r="AF466" s="203"/>
      <c r="AG466" s="204"/>
      <c r="AH466" s="193"/>
      <c r="AI466" s="203"/>
      <c r="AJ466" s="203"/>
      <c r="AK466" s="375"/>
      <c r="AL466" s="348" t="s">
        <v>150</v>
      </c>
      <c r="AM466" s="354"/>
      <c r="AN466" s="354"/>
      <c r="AO466" s="354">
        <f>IF(SUM(P460:P468)=SUM(AA460:AA468), 0, SUM(P460:P468)-SUM(AA460:AA468))</f>
        <v>0</v>
      </c>
      <c r="AP466" s="354"/>
      <c r="AQ466" s="350">
        <f>AM466+AN466+AO466+AP466</f>
        <v>0</v>
      </c>
      <c r="AR466" s="769"/>
      <c r="AS466" s="769"/>
      <c r="AT466" s="769"/>
      <c r="BM466" s="335"/>
    </row>
    <row r="467" spans="1:65" ht="22.25" customHeight="1">
      <c r="A467" s="181">
        <f t="shared" si="164"/>
        <v>45292</v>
      </c>
      <c r="B467" s="486"/>
      <c r="C467" s="489" t="s">
        <v>158</v>
      </c>
      <c r="D467" s="522" t="e">
        <f>D465+1</f>
        <v>#NUM!</v>
      </c>
      <c r="E467" s="211" t="e">
        <f>DATE(YEAR(E466),MONTH(E466),DAY(E466)+1)</f>
        <v>#NUM!</v>
      </c>
      <c r="F467" s="227" t="e">
        <f t="shared" si="165"/>
        <v>#NUM!</v>
      </c>
      <c r="G467" s="228" t="e">
        <f t="shared" si="166"/>
        <v>#NUM!</v>
      </c>
      <c r="H467" s="227" t="e">
        <f t="shared" si="167"/>
        <v>#NUM!</v>
      </c>
      <c r="I467" s="231">
        <f>IF(J466&lt;13,J466,"")</f>
        <v>3</v>
      </c>
      <c r="J467" s="230">
        <f>J468+3</f>
        <v>9</v>
      </c>
      <c r="K467" s="501" t="str">
        <f t="shared" si="168"/>
        <v/>
      </c>
      <c r="L467" s="471"/>
      <c r="M467" s="473" t="e">
        <f ca="1">SUM(J460-E468)&amp;" Tage"</f>
        <v>#NUM!</v>
      </c>
      <c r="N467" s="216"/>
      <c r="O467" s="188"/>
      <c r="P467" s="188"/>
      <c r="Q467" s="217"/>
      <c r="R467" s="189"/>
      <c r="S467" s="190"/>
      <c r="T467" s="190"/>
      <c r="U467" s="191"/>
      <c r="V467" s="192"/>
      <c r="W467" s="190"/>
      <c r="X467" s="190"/>
      <c r="Y467" s="191"/>
      <c r="Z467" s="192"/>
      <c r="AA467" s="190"/>
      <c r="AB467" s="190"/>
      <c r="AC467" s="191"/>
      <c r="AD467" s="192"/>
      <c r="AE467" s="190"/>
      <c r="AF467" s="190"/>
      <c r="AG467" s="191"/>
      <c r="AH467" s="193"/>
      <c r="AI467" s="190"/>
      <c r="AJ467" s="190"/>
      <c r="AK467" s="374"/>
      <c r="AL467" s="348"/>
      <c r="AM467" s="354"/>
      <c r="AN467" s="354"/>
      <c r="AO467" s="354"/>
      <c r="AP467" s="354"/>
      <c r="AQ467" s="350"/>
      <c r="AR467" s="769"/>
      <c r="AS467" s="769"/>
      <c r="AT467" s="769"/>
      <c r="BM467" s="335"/>
    </row>
    <row r="468" spans="1:65" ht="22.25" customHeight="1">
      <c r="A468" s="181">
        <f t="shared" si="164"/>
        <v>45292</v>
      </c>
      <c r="B468" s="485"/>
      <c r="C468" s="490"/>
      <c r="D468" s="521"/>
      <c r="E468" s="218" t="e">
        <f>DATE(YEAR(E467),MONTH(E467)+3,DAY(E467)-1)</f>
        <v>#NUM!</v>
      </c>
      <c r="F468" s="227" t="e">
        <f t="shared" si="165"/>
        <v>#NUM!</v>
      </c>
      <c r="G468" s="228" t="e">
        <f t="shared" si="166"/>
        <v>#NUM!</v>
      </c>
      <c r="H468" s="227" t="e">
        <f t="shared" si="167"/>
        <v>#NUM!</v>
      </c>
      <c r="I468" s="231">
        <f>IF(J465&lt;13,J465,"")</f>
        <v>0</v>
      </c>
      <c r="J468" s="230">
        <f>J466+3</f>
        <v>6</v>
      </c>
      <c r="K468" s="506" t="str">
        <f t="shared" si="168"/>
        <v>+Inflat.-P</v>
      </c>
      <c r="L468" s="508" t="e">
        <f>IF(M459="Stufe A",IF(AND(L460="Auswahl treffen",D467&gt;=0,D467&lt;=1000),J459,IF(AND(L460="Vermögend und ambulant",D467&gt;8,D467&lt;=1000),130,IF(AND(L460="Vermögend und ambulant",D467&gt;4,D467&lt;=8),158,IF(AND(L460="Vermögend und ambulant",D467&gt;2,D467&lt;=4),192,IF(AND(L460="Vermögend und ambulant",D467&gt;1,D467&lt;=2),208,IF(AND(L460="Vermögend und ambulant",D467&gt;0,D467&lt;=1),298,IF(AND(L460="Vermögend und stationär",D467&gt;8,D467&lt;=1000),78,IF(AND(L460="Vermögend und stationär",D467&gt;4,D467&lt;=8),91,IF(AND(L460="Vermögend und stationär",D467&gt;2,D467&lt;=4),140,IF(AND(L460="Vermögend und stationär",D467&gt;1,D467&lt;=2),158,IF(AND(L460="Vermögend und stationär",D467&gt;0,D467&lt;=1),200,IF(AND(L460="Mittellos und ambulant",D467&gt;8,D467&lt;=1000),105,IF(AND(L460="Mittellos und ambulant",D467&gt;4,D467&lt;=8),122,IF(AND(L460="Mittellos und ambulant",D467&gt;2,D467&lt;=4),151,IF(AND(L460="Mittellos und ambulant",D467&gt;1,D467&lt;=2),170,IF(AND(L460="Mittellos und ambulant",D467&gt;0,D467&lt;=1),208,IF(AND(L460="Mittellos und stationär",D467&gt;8,D467&lt;=1000),62,IF(AND(L460="Mittellos und stationär",D467&gt;4,D467&lt;=8),87,IF(AND(L460="Mittellos und stationär",D467&gt;2,D467&lt;=4),124,IF(AND(L460="Mittellos und stationär",D467&gt;1,D467&lt;=2),129,IF(AND(L460="Mittellos und stationär",D467&gt;0,D467&lt;=1),194,""))))))))))))))))))))),IF(M459="Stufe B",IF(AND(L460="Auswahl treffen",D467&gt;=0,D467&lt;=1000),J459,IF(AND(L460="Vermögend und ambulant",D467&gt;8,D467&lt;=1000),161,IF(AND(L460="Vermögend und ambulant",D467&gt;4,D467&lt;=8),196,IF(AND(L460="Vermögend und ambulant",D467&gt;2,D467&lt;=4),238,IF(AND(L460="Vermögend und ambulant",D467&gt;1,D467&lt;=2),258,IF(AND(L460="Vermögend und ambulant",D467&gt;0,D467&lt;=1),370,IF(AND(L460="Vermögend und stationär",D467&gt;8,D467&lt;=1000),96,IF(AND(L460="Vermögend und stationär",D467&gt;4,D467&lt;=8),113,IF(AND(L460="Vermögend und stationär",D467&gt;2,D467&lt;=4),174,IF(AND(L460="Vermögend und stationär",D467&gt;1,D467&lt;=2),196,IF(AND(L460="Vermögend und stationär",D467&gt;0,D467&lt;=1),249,IF(AND(L460="Mittellos und ambulant",D467&gt;8,D467&lt;=1000),130,IF(AND(L460="Mittellos und ambulant",D467&gt;4,D467&lt;=8),151,IF(AND(L460="Mittellos und ambulant",D467&gt;2,D467&lt;=4),188,IF(AND(L460="Mittellos und ambulant",D467&gt;1,D467&lt;=2),211,IF(AND(L460="Mittellos und ambulant",D467&gt;0,D467&lt;=1),258,IF(AND(L460="Mittellos und stationär",D467&gt;8,D467&lt;=1000),78,IF(AND(L460="Mittellos und stationär",D467&gt;4,D467&lt;=8),107,IF(AND(L460="Mittellos und stationär",D467&gt;2,D467&lt;=4),154,IF(AND(L460="Mittellos und stationär",D467&gt;1,D467&lt;=2),158,IF(AND(L460="Mittellos und stationär",D467&gt;0,D467&lt;=1),241,""))))))))))))))))))))),IF(M459="Stufe C",IF(AND(L460="Auswahl treffen",D467&gt;=0,D467&lt;=1000),J459,IF(AND(L460="Vermögend und ambulant",D467&gt;8,D467&lt;=1000),211,IF(AND(L460="Vermögend und ambulant",D467&gt;4,D467&lt;=8),257,IF(AND(L460="Vermögend und ambulant",D467&gt;2,D467&lt;=4),312,IF(AND(L460="Vermögend und ambulant",D467&gt;1,D467&lt;=2),339,IF(AND(L460="Vermögend und ambulant",D467&gt;0,D467&lt;=1),486,IF(AND(L460="Vermögend und stationär",D467&gt;8,D467&lt;=1000),127,IF(AND(L460="Vermögend und stationär",D467&gt;4,D467&lt;=8),149,IF(AND(L460="Vermögend und stationär",D467&gt;2,D467&lt;=4),229,IF(AND(L460="Vermögend und stationär",D467&gt;1,D467&lt;=2),257,IF(AND(L460="Vermögend und stationär",D467&gt;0,D467&lt;=1),327,IF(AND(L460="Mittellos und ambulant",D467&gt;8,D467&lt;=1000),171,IF(AND(L460="Mittellos und ambulant",D467&gt;4,D467&lt;=8),198,IF(AND(L460="Mittellos und ambulant",D467&gt;2,D467&lt;=4),246,IF(AND(L460="Mittellos und ambulant",D467&gt;1,D467&lt;=2),277,IF(AND(L460="Mittellos und ambulant",D467&gt;0,D467&lt;=1),339,IF(AND(L460="Mittellos und stationär",D467&gt;8,D467&lt;=1000),102,IF(AND(L460="Mittellos und stationär",D467&gt;4,D467&lt;=8),141,IF(AND(L460="Mittellos und stationär",D467&gt;2,D467&lt;=4),202,IF(AND(L460="Mittellos und stationär",D467&gt;1,D467&lt;=2),208,IF(AND(L460="Mittellos und stationär",D467&gt;0,D467&lt;=1),317,""))))))))))))))))))))),"")))*3+(J459*90)</f>
        <v>#NUM!</v>
      </c>
      <c r="M468" s="507" t="str">
        <f>CONCATENATE(K468, K467)</f>
        <v>+Inflat.-P</v>
      </c>
      <c r="N468" s="216"/>
      <c r="O468" s="188"/>
      <c r="P468" s="188"/>
      <c r="Q468" s="217" t="s">
        <v>118</v>
      </c>
      <c r="R468" s="189"/>
      <c r="S468" s="190"/>
      <c r="T468" s="190"/>
      <c r="U468" s="191"/>
      <c r="V468" s="192"/>
      <c r="W468" s="190"/>
      <c r="X468" s="190"/>
      <c r="Y468" s="191"/>
      <c r="Z468" s="192"/>
      <c r="AA468" s="190"/>
      <c r="AB468" s="190"/>
      <c r="AC468" s="191"/>
      <c r="AD468" s="192"/>
      <c r="AE468" s="190" t="s">
        <v>118</v>
      </c>
      <c r="AF468" s="190" t="s">
        <v>117</v>
      </c>
      <c r="AG468" s="191" t="s">
        <v>26</v>
      </c>
      <c r="AH468" s="193"/>
      <c r="AI468" s="190" t="s">
        <v>118</v>
      </c>
      <c r="AJ468" s="190" t="s">
        <v>117</v>
      </c>
      <c r="AK468" s="374" t="s">
        <v>26</v>
      </c>
      <c r="AL468" s="348" t="s">
        <v>151</v>
      </c>
      <c r="AM468" s="354"/>
      <c r="AN468" s="354"/>
      <c r="AO468" s="354"/>
      <c r="AP468" s="354">
        <f>IF(SUM(Q460:Q468)=SUM(AE460:AE468,AI460:AI468), 0, SUM(Q460:Q468)-SUM(AE460:AE468,AI460:AI468))</f>
        <v>0</v>
      </c>
      <c r="AQ468" s="350">
        <f>AM468+AN468+AO468+AP468</f>
        <v>0</v>
      </c>
      <c r="AR468" s="769"/>
      <c r="AS468" s="769"/>
      <c r="AT468" s="769"/>
      <c r="BM468" s="335"/>
    </row>
    <row r="469" spans="1:65" ht="22" customHeight="1">
      <c r="A469" s="181">
        <f t="shared" si="164"/>
        <v>45292</v>
      </c>
      <c r="B469" s="232" t="s">
        <v>74</v>
      </c>
      <c r="C469" s="233" t="s">
        <v>75</v>
      </c>
      <c r="D469" s="234" t="s">
        <v>76</v>
      </c>
      <c r="E469" s="235" t="s">
        <v>11</v>
      </c>
      <c r="F469" s="235" t="s">
        <v>4</v>
      </c>
      <c r="G469" s="235" t="s">
        <v>5</v>
      </c>
      <c r="H469" s="235" t="s">
        <v>6</v>
      </c>
      <c r="I469" s="236" t="s">
        <v>77</v>
      </c>
      <c r="J469" s="306"/>
      <c r="K469" s="501" t="str">
        <f t="shared" si="168"/>
        <v/>
      </c>
      <c r="L469" s="306" t="str">
        <f>IFERROR(VLOOKUP(B470,'Aktuelle Einnahmen'!A2:J104,10,0),"")</f>
        <v/>
      </c>
      <c r="M469" s="510" t="str">
        <f>M459</f>
        <v>Stufe C</v>
      </c>
      <c r="N469" s="237"/>
      <c r="O469" s="238"/>
      <c r="P469" s="238"/>
      <c r="Q469" s="239"/>
      <c r="R469" s="240"/>
      <c r="S469" s="241"/>
      <c r="T469" s="241"/>
      <c r="U469" s="242"/>
      <c r="V469" s="243"/>
      <c r="W469" s="241"/>
      <c r="X469" s="241"/>
      <c r="Y469" s="242"/>
      <c r="Z469" s="243"/>
      <c r="AA469" s="241"/>
      <c r="AB469" s="241"/>
      <c r="AC469" s="242"/>
      <c r="AD469" s="243"/>
      <c r="AE469" s="241"/>
      <c r="AF469" s="241"/>
      <c r="AG469" s="242"/>
      <c r="AH469" s="240"/>
      <c r="AI469" s="241"/>
      <c r="AJ469" s="241"/>
      <c r="AK469" s="377"/>
      <c r="AL469" s="347"/>
      <c r="AM469" s="353"/>
      <c r="AN469" s="353"/>
      <c r="AO469" s="353"/>
      <c r="AP469" s="353"/>
      <c r="AQ469" s="349"/>
      <c r="AR469" s="768"/>
      <c r="AS469" s="768"/>
      <c r="AT469" s="768"/>
      <c r="BM469" s="335"/>
    </row>
    <row r="470" spans="1:65" ht="23" customHeight="1">
      <c r="A470" s="181">
        <f t="shared" si="164"/>
        <v>45292</v>
      </c>
      <c r="B470" s="182">
        <v>47</v>
      </c>
      <c r="C470" s="245">
        <f>IFERROR(VLOOKUP($B470,'Aktuelle Einnahmen'!A2:G104,3,0),"")</f>
        <v>0</v>
      </c>
      <c r="D470" s="246">
        <f>IFERROR(VLOOKUP($B470,'Aktuelle Einnahmen'!A2:G104,2,0),"")</f>
        <v>0</v>
      </c>
      <c r="E470" s="247">
        <f>IFERROR(VLOOKUP($B470,'Aktuelle Einnahmen'!A2:G104,4,0),"")</f>
        <v>0</v>
      </c>
      <c r="F470" s="94">
        <f>IFERROR(VLOOKUP($B470,'Aktuelle Einnahmen'!A2:G104,5,0),"")</f>
        <v>0</v>
      </c>
      <c r="G470" s="94">
        <f>IFERROR(VLOOKUP($B470,'Aktuelle Einnahmen'!A2:G104,6,0),"")</f>
        <v>0</v>
      </c>
      <c r="H470" s="94">
        <f>IFERROR(VLOOKUP($B470,'Aktuelle Einnahmen'!A2:G104,7,0),"")</f>
        <v>0</v>
      </c>
      <c r="I470" s="186" t="e">
        <f>DATE(H470,G470,F470)</f>
        <v>#NUM!</v>
      </c>
      <c r="J470" s="472">
        <f ca="1">J460</f>
        <v>45475</v>
      </c>
      <c r="K470" s="506" t="str">
        <f t="shared" si="168"/>
        <v>+Inflat.-P</v>
      </c>
      <c r="L470" s="1262" t="str">
        <f>IFERROR(VLOOKUP(B470,'Aktuelle Einnahmen'!A12:I114,9,0),"")</f>
        <v>Auswahl treffen</v>
      </c>
      <c r="M470" s="1263"/>
      <c r="N470" s="261"/>
      <c r="O470" s="261"/>
      <c r="P470" s="261"/>
      <c r="Q470" s="261"/>
      <c r="R470" s="189"/>
      <c r="S470" s="190"/>
      <c r="T470" s="190"/>
      <c r="U470" s="191"/>
      <c r="V470" s="192"/>
      <c r="W470" s="190"/>
      <c r="X470" s="190"/>
      <c r="Y470" s="191"/>
      <c r="Z470" s="192"/>
      <c r="AA470" s="190"/>
      <c r="AB470" s="190"/>
      <c r="AC470" s="191"/>
      <c r="AD470" s="192"/>
      <c r="AE470" s="190"/>
      <c r="AF470" s="190"/>
      <c r="AG470" s="191"/>
      <c r="AH470" s="193"/>
      <c r="AI470" s="190"/>
      <c r="AJ470" s="190"/>
      <c r="AK470" s="374"/>
      <c r="AL470" s="348"/>
      <c r="AM470" s="354"/>
      <c r="AN470" s="354"/>
      <c r="AO470" s="354"/>
      <c r="AP470" s="354"/>
      <c r="AQ470" s="350"/>
      <c r="AR470" s="769"/>
      <c r="AS470" s="769"/>
      <c r="AT470" s="769"/>
      <c r="BM470" s="335"/>
    </row>
    <row r="471" spans="1:65" ht="22.25" customHeight="1">
      <c r="A471" s="181">
        <f t="shared" si="164"/>
        <v>45292</v>
      </c>
      <c r="B471" s="484" t="e">
        <f>DAY(I470)</f>
        <v>#NUM!</v>
      </c>
      <c r="C471" s="489" t="s">
        <v>158</v>
      </c>
      <c r="D471" s="527" t="e">
        <f>(I471*4)+J471/3+1</f>
        <v>#NUM!</v>
      </c>
      <c r="E471" s="194" t="e">
        <f>J473+1</f>
        <v>#NUM!</v>
      </c>
      <c r="F471" s="195" t="e">
        <f t="shared" ref="F471:F478" si="169">DAY(E471)</f>
        <v>#NUM!</v>
      </c>
      <c r="G471" s="196" t="e">
        <f t="shared" ref="G471:G478" si="170">MONTH(E471)</f>
        <v>#NUM!</v>
      </c>
      <c r="H471" s="195" t="e">
        <f t="shared" ref="H471:H478" si="171">YEAR(E471)</f>
        <v>#NUM!</v>
      </c>
      <c r="I471" s="197" t="e">
        <f>H471-(H470+2000)</f>
        <v>#NUM!</v>
      </c>
      <c r="J471" s="198" t="e">
        <f>G471-G470</f>
        <v>#NUM!</v>
      </c>
      <c r="K471" s="506" t="str">
        <f>L469</f>
        <v/>
      </c>
      <c r="L471" s="469"/>
      <c r="M471" s="473" t="e">
        <f ca="1">SUM(J470-E472)&amp;" Tage"</f>
        <v>#NUM!</v>
      </c>
      <c r="N471" s="206"/>
      <c r="O471" s="201"/>
      <c r="P471" s="201"/>
      <c r="Q471" s="202"/>
      <c r="R471" s="189"/>
      <c r="S471" s="203"/>
      <c r="T471" s="203"/>
      <c r="U471" s="204"/>
      <c r="V471" s="192"/>
      <c r="W471" s="203"/>
      <c r="X471" s="203"/>
      <c r="Y471" s="204"/>
      <c r="Z471" s="192"/>
      <c r="AA471" s="203"/>
      <c r="AB471" s="203"/>
      <c r="AC471" s="204"/>
      <c r="AD471" s="192"/>
      <c r="AE471" s="203"/>
      <c r="AF471" s="203"/>
      <c r="AG471" s="204"/>
      <c r="AH471" s="193"/>
      <c r="AI471" s="203"/>
      <c r="AJ471" s="203"/>
      <c r="AK471" s="375"/>
      <c r="AL471" s="348"/>
      <c r="AM471" s="354"/>
      <c r="AN471" s="354"/>
      <c r="AO471" s="354"/>
      <c r="AP471" s="354"/>
      <c r="AQ471" s="350"/>
      <c r="AR471" s="769"/>
      <c r="AS471" s="769"/>
      <c r="AT471" s="769"/>
      <c r="BM471" s="335"/>
    </row>
    <row r="472" spans="1:65" ht="22.25" customHeight="1">
      <c r="A472" s="181">
        <f t="shared" si="164"/>
        <v>45292</v>
      </c>
      <c r="B472" s="485"/>
      <c r="C472" s="490"/>
      <c r="D472" s="528"/>
      <c r="E472" s="194" t="e">
        <f>DATE(YEAR(E471),MONTH(E471)+3,DAY(E471)-1)</f>
        <v>#NUM!</v>
      </c>
      <c r="F472" s="195" t="e">
        <f t="shared" si="169"/>
        <v>#NUM!</v>
      </c>
      <c r="G472" s="196" t="e">
        <f t="shared" si="170"/>
        <v>#NUM!</v>
      </c>
      <c r="H472" s="195" t="e">
        <f t="shared" si="171"/>
        <v>#NUM!</v>
      </c>
      <c r="I472" s="244">
        <v>-1</v>
      </c>
      <c r="J472" s="198" t="e">
        <f>F471-F470</f>
        <v>#NUM!</v>
      </c>
      <c r="K472" s="506" t="str">
        <f t="shared" si="168"/>
        <v>+Inflat.-P</v>
      </c>
      <c r="L472" s="511" t="e">
        <f>IF(M469="Stufe A",IF(AND(L470="Auswahl treffen",D471&gt;=0,D471&lt;=1000),J469,IF(AND(L470="Vermögend und ambulant",D471&gt;8,D471&lt;=1000),130,IF(AND(L470="Vermögend und ambulant",D471&gt;4,D471&lt;=8),158,IF(AND(L470="Vermögend und ambulant",D471&gt;2,D471&lt;=4),192,IF(AND(L470="Vermögend und ambulant",D471&gt;1,D471&lt;=2),208,IF(AND(L470="Vermögend und ambulant",D471&gt;0,D471&lt;=1),298,IF(AND(L470="Vermögend und stationär",D471&gt;8,D471&lt;=1000),78,IF(AND(L470="Vermögend und stationär",D471&gt;4,D471&lt;=8),91,IF(AND(L470="Vermögend und stationär",D471&gt;2,D471&lt;=4),140,IF(AND(L470="Vermögend und stationär",D471&gt;1,D471&lt;=2),158,IF(AND(L470="Vermögend und stationär",D471&gt;0,D471&lt;=1),200,IF(AND(L470="Mittellos und ambulant",D471&gt;8,D471&lt;=1000),105,IF(AND(L470="Mittellos und ambulant",D471&gt;4,D471&lt;=8),122,IF(AND(L470="Mittellos und ambulant",D471&gt;2,D471&lt;=4),151,IF(AND(L470="Mittellos und ambulant",D471&gt;1,D471&lt;=2),170,IF(AND(L470="Mittellos und ambulant",D471&gt;0,D471&lt;=1),208,IF(AND(L470="Mittellos und stationär",D471&gt;8,D471&lt;=1000),62,IF(AND(L470="Mittellos und stationär",D471&gt;4,D471&lt;=8),87,IF(AND(L470="Mittellos und stationär",D471&gt;2,D471&lt;=4),124,IF(AND(L470="Mittellos und stationär",D471&gt;1,D471&lt;=2),129,IF(AND(L470="Mittellos und stationär",D471&gt;0,D471&lt;=1),194,""))))))))))))))))))))),IF(M469="Stufe B",IF(AND(L470="Auswahl treffen",D471&gt;=0,D471&lt;=1000),J469,IF(AND(L470="Vermögend und ambulant",D471&gt;8,D471&lt;=1000),161,IF(AND(L470="Vermögend und ambulant",D471&gt;4,D471&lt;=8),196,IF(AND(L470="Vermögend und ambulant",D471&gt;2,D471&lt;=4),238,IF(AND(L470="Vermögend und ambulant",D471&gt;1,D471&lt;=2),258,IF(AND(L470="Vermögend und ambulant",D471&gt;0,D471&lt;=1),370,IF(AND(L470="Vermögend und stationär",D471&gt;8,D471&lt;=1000),96,IF(AND(L470="Vermögend und stationär",D471&gt;4,D471&lt;=8),113,IF(AND(L470="Vermögend und stationär",D471&gt;2,D471&lt;=4),174,IF(AND(L470="Vermögend und stationär",D471&gt;1,D471&lt;=2),196,IF(AND(L470="Vermögend und stationär",D471&gt;0,D471&lt;=1),249,IF(AND(L470="Mittellos und ambulant",D471&gt;8,D471&lt;=1000),130,IF(AND(L470="Mittellos und ambulant",D471&gt;4,D471&lt;=8),151,IF(AND(L470="Mittellos und ambulant",D471&gt;2,D471&lt;=4),188,IF(AND(L470="Mittellos und ambulant",D471&gt;1,D471&lt;=2),211,IF(AND(L470="Mittellos und ambulant",D471&gt;0,D471&lt;=1),258,IF(AND(L470="Mittellos und stationär",D471&gt;8,D471&lt;=1000),78,IF(AND(L470="Mittellos und stationär",D471&gt;4,D471&lt;=8),107,IF(AND(L470="Mittellos und stationär",D471&gt;2,D471&lt;=4),154,IF(AND(L470="Mittellos und stationär",D471&gt;1,D471&lt;=2),158,IF(AND(L470="Mittellos und stationär",D471&gt;0,D471&lt;=1),241,""))))))))))))))))))))),IF(M469="Stufe C",IF(AND(L470="Auswahl treffen",D471&gt;=0,D471&lt;=1000),J469,IF(AND(L470="Vermögend und ambulant",D471&gt;8,D471&lt;=1000),211,IF(AND(L470="Vermögend und ambulant",D471&gt;4,D471&lt;=8),257,IF(AND(L470="Vermögend und ambulant",D471&gt;2,D471&lt;=4),312,IF(AND(L470="Vermögend und ambulant",D471&gt;1,D471&lt;=2),339,IF(AND(L470="Vermögend und ambulant",D471&gt;0,D471&lt;=1),486,IF(AND(L470="Vermögend und stationär",D471&gt;8,D471&lt;=1000),127,IF(AND(L470="Vermögend und stationär",D471&gt;4,D471&lt;=8),149,IF(AND(L470="Vermögend und stationär",D471&gt;2,D471&lt;=4),229,IF(AND(L470="Vermögend und stationär",D471&gt;1,D471&lt;=2),257,IF(AND(L470="Vermögend und stationär",D471&gt;0,D471&lt;=1),327,IF(AND(L470="Mittellos und ambulant",D471&gt;8,D471&lt;=1000),171,IF(AND(L470="Mittellos und ambulant",D471&gt;4,D471&lt;=8),198,IF(AND(L470="Mittellos und ambulant",D471&gt;2,D471&lt;=4),246,IF(AND(L470="Mittellos und ambulant",D471&gt;1,D471&lt;=2),277,IF(AND(L470="Mittellos und ambulant",D471&gt;0,D471&lt;=1),339,IF(AND(L470="Mittellos und stationär",D471&gt;8,D471&lt;=1000),102,IF(AND(L470="Mittellos und stationär",D471&gt;4,D471&lt;=8),141,IF(AND(L470="Mittellos und stationär",D471&gt;2,D471&lt;=4),202,IF(AND(L470="Mittellos und stationär",D471&gt;1,D471&lt;=2),208,IF(AND(L470="Mittellos und stationär",D471&gt;0,D471&lt;=1),317,""))))))))))))))))))))),"")))*3+(J469*90)</f>
        <v>#NUM!</v>
      </c>
      <c r="M472" s="507" t="str">
        <f>CONCATENATE(K472, K471)</f>
        <v>+Inflat.-P</v>
      </c>
      <c r="N472" s="206" t="s">
        <v>118</v>
      </c>
      <c r="O472" s="207"/>
      <c r="P472" s="207"/>
      <c r="Q472" s="208"/>
      <c r="R472" s="187"/>
      <c r="S472" s="209" t="s">
        <v>118</v>
      </c>
      <c r="T472" s="201" t="s">
        <v>117</v>
      </c>
      <c r="U472" s="210" t="s">
        <v>26</v>
      </c>
      <c r="V472" s="192"/>
      <c r="W472" s="203"/>
      <c r="X472" s="203"/>
      <c r="Y472" s="210"/>
      <c r="Z472" s="192"/>
      <c r="AA472" s="203"/>
      <c r="AB472" s="203"/>
      <c r="AC472" s="210"/>
      <c r="AD472" s="192"/>
      <c r="AE472" s="203"/>
      <c r="AF472" s="203"/>
      <c r="AG472" s="210"/>
      <c r="AH472" s="193"/>
      <c r="AI472" s="203"/>
      <c r="AJ472" s="203"/>
      <c r="AK472" s="376"/>
      <c r="AL472" s="348" t="s">
        <v>148</v>
      </c>
      <c r="AM472" s="354">
        <f>IF(SUM(N470:N478)=SUM(S470:S478), 0, SUM(N470:N478)-SUM(S470:S478))</f>
        <v>0</v>
      </c>
      <c r="AN472" s="354"/>
      <c r="AO472" s="354"/>
      <c r="AP472" s="354"/>
      <c r="AQ472" s="350">
        <f>AM472+AN472+AO472+AP472</f>
        <v>0</v>
      </c>
      <c r="AR472" s="769"/>
      <c r="AS472" s="769"/>
      <c r="AT472" s="769"/>
      <c r="BM472" s="335"/>
    </row>
    <row r="473" spans="1:65" ht="22.25" customHeight="1">
      <c r="A473" s="181">
        <f t="shared" si="164"/>
        <v>45292</v>
      </c>
      <c r="B473" s="484" t="e">
        <f>MONTH(I470)</f>
        <v>#NUM!</v>
      </c>
      <c r="C473" s="489" t="s">
        <v>158</v>
      </c>
      <c r="D473" s="529" t="e">
        <f>D471+1</f>
        <v>#NUM!</v>
      </c>
      <c r="E473" s="211" t="e">
        <f>DATE(YEAR(E472),MONTH(E472),DAY(E472)+1)</f>
        <v>#NUM!</v>
      </c>
      <c r="F473" s="212" t="e">
        <f t="shared" si="169"/>
        <v>#NUM!</v>
      </c>
      <c r="G473" s="213" t="e">
        <f t="shared" si="170"/>
        <v>#NUM!</v>
      </c>
      <c r="H473" s="212" t="e">
        <f t="shared" si="171"/>
        <v>#NUM!</v>
      </c>
      <c r="I473" s="214" t="str">
        <f>IF(D470&lt;&gt;0,"-1T","")</f>
        <v/>
      </c>
      <c r="J473" s="215" t="e">
        <f>DATE($B475,I474,$B471)</f>
        <v>#NUM!</v>
      </c>
      <c r="K473" s="501" t="str">
        <f t="shared" si="168"/>
        <v/>
      </c>
      <c r="L473" s="470"/>
      <c r="M473" s="473" t="e">
        <f ca="1">SUM(J470-E474)&amp;" Tage"</f>
        <v>#NUM!</v>
      </c>
      <c r="N473" s="216"/>
      <c r="O473" s="217"/>
      <c r="P473" s="188"/>
      <c r="Q473" s="217"/>
      <c r="R473" s="189"/>
      <c r="S473" s="190"/>
      <c r="T473" s="190"/>
      <c r="U473" s="191"/>
      <c r="V473" s="192"/>
      <c r="W473" s="190"/>
      <c r="X473" s="190"/>
      <c r="Y473" s="191"/>
      <c r="Z473" s="192"/>
      <c r="AA473" s="190"/>
      <c r="AB473" s="190"/>
      <c r="AC473" s="191"/>
      <c r="AD473" s="192"/>
      <c r="AE473" s="190"/>
      <c r="AF473" s="190"/>
      <c r="AG473" s="191"/>
      <c r="AH473" s="193"/>
      <c r="AI473" s="190"/>
      <c r="AJ473" s="190"/>
      <c r="AK473" s="374"/>
      <c r="AL473" s="348"/>
      <c r="AM473" s="354"/>
      <c r="AN473" s="354"/>
      <c r="AO473" s="354"/>
      <c r="AP473" s="354"/>
      <c r="AQ473" s="350"/>
      <c r="AR473" s="769"/>
      <c r="AS473" s="769"/>
      <c r="AT473" s="769"/>
      <c r="BM473" s="335"/>
    </row>
    <row r="474" spans="1:65" ht="22.25" customHeight="1">
      <c r="A474" s="181">
        <f t="shared" si="164"/>
        <v>45292</v>
      </c>
      <c r="B474" s="485"/>
      <c r="C474" s="490"/>
      <c r="D474" s="530"/>
      <c r="E474" s="218" t="e">
        <f>DATE(YEAR(E473),MONTH(E473)+3,DAY(E473)-1)</f>
        <v>#NUM!</v>
      </c>
      <c r="F474" s="212" t="e">
        <f t="shared" si="169"/>
        <v>#NUM!</v>
      </c>
      <c r="G474" s="213" t="e">
        <f t="shared" si="170"/>
        <v>#NUM!</v>
      </c>
      <c r="H474" s="212" t="e">
        <f t="shared" si="171"/>
        <v>#NUM!</v>
      </c>
      <c r="I474" s="219">
        <f>MAX(I475:I478)</f>
        <v>9</v>
      </c>
      <c r="J474" s="220" t="e">
        <f>DATE(YEAR(J473)+1,MONTH(J473),DAY(J473))</f>
        <v>#NUM!</v>
      </c>
      <c r="K474" s="501" t="str">
        <f t="shared" si="168"/>
        <v>+Inflat.-P</v>
      </c>
      <c r="L474" s="508" t="e">
        <f>IF(M469="Stufe A",IF(AND(L470="Auswahl treffen",D473&gt;=0,D473&lt;=1000),J469,IF(AND(L470="Vermögend und ambulant",D473&gt;8,D473&lt;=1000),130,IF(AND(L470="Vermögend und ambulant",D473&gt;4,D473&lt;=8),158,IF(AND(L470="Vermögend und ambulant",D473&gt;2,D473&lt;=4),192,IF(AND(L470="Vermögend und ambulant",D473&gt;1,D473&lt;=2),208,IF(AND(L470="Vermögend und ambulant",D473&gt;0,D473&lt;=1),298,IF(AND(L470="Vermögend und stationär",D473&gt;8,D473&lt;=1000),78,IF(AND(L470="Vermögend und stationär",D473&gt;4,D473&lt;=8),91,IF(AND(L470="Vermögend und stationär",D473&gt;2,D473&lt;=4),140,IF(AND(L470="Vermögend und stationär",D473&gt;1,D473&lt;=2),158,IF(AND(L470="Vermögend und stationär",D473&gt;0,D473&lt;=1),200,IF(AND(L470="Mittellos und ambulant",D473&gt;8,D473&lt;=1000),105,IF(AND(L470="Mittellos und ambulant",D473&gt;4,D473&lt;=8),122,IF(AND(L470="Mittellos und ambulant",D473&gt;2,D473&lt;=4),151,IF(AND(L470="Mittellos und ambulant",D473&gt;1,D473&lt;=2),170,IF(AND(L470="Mittellos und ambulant",D473&gt;0,D473&lt;=1),208,IF(AND(L470="Mittellos und stationär",D473&gt;8,D473&lt;=1000),62,IF(AND(L470="Mittellos und stationär",D473&gt;4,D473&lt;=8),87,IF(AND(L470="Mittellos und stationär",D473&gt;2,D473&lt;=4),124,IF(AND(L470="Mittellos und stationär",D473&gt;1,D473&lt;=2),129,IF(AND(L470="Mittellos und stationär",D473&gt;0,D473&lt;=1),194,""))))))))))))))))))))),IF(M469="Stufe B",IF(AND(L470="Auswahl treffen",D473&gt;=0,D473&lt;=1000),J469,IF(AND(L470="Vermögend und ambulant",D473&gt;8,D473&lt;=1000),161,IF(AND(L470="Vermögend und ambulant",D473&gt;4,D473&lt;=8),196,IF(AND(L470="Vermögend und ambulant",D473&gt;2,D473&lt;=4),238,IF(AND(L470="Vermögend und ambulant",D473&gt;1,D473&lt;=2),258,IF(AND(L470="Vermögend und ambulant",D473&gt;0,D473&lt;=1),370,IF(AND(L470="Vermögend und stationär",D473&gt;8,D473&lt;=1000),96,IF(AND(L470="Vermögend und stationär",D473&gt;4,D473&lt;=8),113,IF(AND(L470="Vermögend und stationär",D473&gt;2,D473&lt;=4),174,IF(AND(L470="Vermögend und stationär",D473&gt;1,D473&lt;=2),196,IF(AND(L470="Vermögend und stationär",D473&gt;0,D473&lt;=1),249,IF(AND(L470="Mittellos und ambulant",D473&gt;8,D473&lt;=1000),130,IF(AND(L470="Mittellos und ambulant",D473&gt;4,D473&lt;=8),151,IF(AND(L470="Mittellos und ambulant",D473&gt;2,D473&lt;=4),188,IF(AND(L470="Mittellos und ambulant",D473&gt;1,D473&lt;=2),211,IF(AND(L470="Mittellos und ambulant",D473&gt;0,D473&lt;=1),258,IF(AND(L470="Mittellos und stationär",D473&gt;8,D473&lt;=1000),78,IF(AND(L470="Mittellos und stationär",D473&gt;4,D473&lt;=8),107,IF(AND(L470="Mittellos und stationär",D473&gt;2,D473&lt;=4),154,IF(AND(L470="Mittellos und stationär",D473&gt;1,D473&lt;=2),158,IF(AND(L470="Mittellos und stationär",D473&gt;0,D473&lt;=1),241,""))))))))))))))))))))),IF(M469="Stufe C",IF(AND(L470="Auswahl treffen",D473&gt;=0,D473&lt;=1000),J469,IF(AND(L470="Vermögend und ambulant",D473&gt;8,D473&lt;=1000),211,IF(AND(L470="Vermögend und ambulant",D473&gt;4,D473&lt;=8),257,IF(AND(L470="Vermögend und ambulant",D473&gt;2,D473&lt;=4),312,IF(AND(L470="Vermögend und ambulant",D473&gt;1,D473&lt;=2),339,IF(AND(L470="Vermögend und ambulant",D473&gt;0,D473&lt;=1),486,IF(AND(L470="Vermögend und stationär",D473&gt;8,D473&lt;=1000),127,IF(AND(L470="Vermögend und stationär",D473&gt;4,D473&lt;=8),149,IF(AND(L470="Vermögend und stationär",D473&gt;2,D473&lt;=4),229,IF(AND(L470="Vermögend und stationär",D473&gt;1,D473&lt;=2),257,IF(AND(L470="Vermögend und stationär",D473&gt;0,D473&lt;=1),327,IF(AND(L470="Mittellos und ambulant",D473&gt;8,D473&lt;=1000),171,IF(AND(L470="Mittellos und ambulant",D473&gt;4,D473&lt;=8),198,IF(AND(L470="Mittellos und ambulant",D473&gt;2,D473&lt;=4),246,IF(AND(L470="Mittellos und ambulant",D473&gt;1,D473&lt;=2),277,IF(AND(L470="Mittellos und ambulant",D473&gt;0,D473&lt;=1),339,IF(AND(L470="Mittellos und stationär",D473&gt;8,D473&lt;=1000),102,IF(AND(L470="Mittellos und stationär",D473&gt;4,D473&lt;=8),141,IF(AND(L470="Mittellos und stationär",D473&gt;2,D473&lt;=4),202,IF(AND(L470="Mittellos und stationär",D473&gt;1,D473&lt;=2),208,IF(AND(L470="Mittellos und stationär",D473&gt;0,D473&lt;=1),317,""))))))))))))))))))))),"")))*3+(J469*90)</f>
        <v>#NUM!</v>
      </c>
      <c r="M474" s="507" t="str">
        <f>CONCATENATE(K474, K473)</f>
        <v>+Inflat.-P</v>
      </c>
      <c r="N474" s="216"/>
      <c r="O474" s="188" t="s">
        <v>118</v>
      </c>
      <c r="P474" s="188"/>
      <c r="Q474" s="221"/>
      <c r="R474" s="199"/>
      <c r="S474" s="190"/>
      <c r="T474" s="190"/>
      <c r="U474" s="191"/>
      <c r="V474" s="192"/>
      <c r="W474" s="222" t="s">
        <v>118</v>
      </c>
      <c r="X474" s="222" t="s">
        <v>117</v>
      </c>
      <c r="Y474" s="191" t="s">
        <v>26</v>
      </c>
      <c r="Z474" s="192"/>
      <c r="AA474" s="190"/>
      <c r="AB474" s="190"/>
      <c r="AC474" s="191"/>
      <c r="AD474" s="192"/>
      <c r="AE474" s="190"/>
      <c r="AF474" s="190"/>
      <c r="AG474" s="191"/>
      <c r="AH474" s="193"/>
      <c r="AI474" s="190"/>
      <c r="AJ474" s="190"/>
      <c r="AK474" s="374"/>
      <c r="AL474" s="348" t="s">
        <v>149</v>
      </c>
      <c r="AM474" s="354"/>
      <c r="AN474" s="354">
        <f>IF(SUM(O470:O478)=SUM(W470:W478), 0, SUM(O470:O478)-SUM(W470:W478))</f>
        <v>0</v>
      </c>
      <c r="AO474" s="354"/>
      <c r="AP474" s="354"/>
      <c r="AQ474" s="350">
        <f>AM474+AN474+AO474+AP474</f>
        <v>0</v>
      </c>
      <c r="AR474" s="769"/>
      <c r="AS474" s="769"/>
      <c r="AT474" s="769"/>
      <c r="BM474" s="335"/>
    </row>
    <row r="475" spans="1:65" ht="22.25" customHeight="1">
      <c r="A475" s="181">
        <f t="shared" si="164"/>
        <v>45292</v>
      </c>
      <c r="B475" s="484">
        <f>YEAR($A476)-1</f>
        <v>2023</v>
      </c>
      <c r="C475" s="489" t="s">
        <v>158</v>
      </c>
      <c r="D475" s="527" t="e">
        <f>D473+1</f>
        <v>#NUM!</v>
      </c>
      <c r="E475" s="194" t="e">
        <f>DATE(YEAR(E474),MONTH(E474),DAY(E474)+1)</f>
        <v>#NUM!</v>
      </c>
      <c r="F475" s="195" t="e">
        <f t="shared" si="169"/>
        <v>#NUM!</v>
      </c>
      <c r="G475" s="196" t="e">
        <f t="shared" si="170"/>
        <v>#NUM!</v>
      </c>
      <c r="H475" s="195" t="e">
        <f t="shared" si="171"/>
        <v>#NUM!</v>
      </c>
      <c r="I475" s="197">
        <f>IF(J477&lt;13,J477,"")</f>
        <v>9</v>
      </c>
      <c r="J475" s="224">
        <f>G470</f>
        <v>0</v>
      </c>
      <c r="K475" s="506" t="str">
        <f t="shared" si="168"/>
        <v/>
      </c>
      <c r="L475" s="471"/>
      <c r="M475" s="473" t="e">
        <f ca="1">SUM(J470-E476)&amp;" Tage"</f>
        <v>#NUM!</v>
      </c>
      <c r="N475" s="200"/>
      <c r="O475" s="201"/>
      <c r="P475" s="201"/>
      <c r="Q475" s="202"/>
      <c r="R475" s="189"/>
      <c r="S475" s="203"/>
      <c r="T475" s="203"/>
      <c r="U475" s="204"/>
      <c r="V475" s="192"/>
      <c r="W475" s="203"/>
      <c r="X475" s="203"/>
      <c r="Y475" s="204"/>
      <c r="Z475" s="192"/>
      <c r="AA475" s="203"/>
      <c r="AB475" s="203"/>
      <c r="AC475" s="204"/>
      <c r="AD475" s="192"/>
      <c r="AE475" s="203"/>
      <c r="AF475" s="203"/>
      <c r="AG475" s="204"/>
      <c r="AH475" s="193"/>
      <c r="AI475" s="203"/>
      <c r="AJ475" s="203"/>
      <c r="AK475" s="375"/>
      <c r="AL475" s="348"/>
      <c r="AM475" s="354"/>
      <c r="AN475" s="354"/>
      <c r="AO475" s="354"/>
      <c r="AP475" s="354"/>
      <c r="AQ475" s="350"/>
      <c r="AR475" s="769"/>
      <c r="AS475" s="769"/>
      <c r="AT475" s="769"/>
      <c r="BM475" s="335"/>
    </row>
    <row r="476" spans="1:65" ht="22.25" customHeight="1">
      <c r="A476" s="181">
        <f t="shared" si="164"/>
        <v>45292</v>
      </c>
      <c r="B476" s="485"/>
      <c r="C476" s="490"/>
      <c r="D476" s="528"/>
      <c r="E476" s="194" t="e">
        <f>DATE(YEAR(E475),MONTH(E475)+3,DAY(E475)-1)</f>
        <v>#NUM!</v>
      </c>
      <c r="F476" s="195" t="e">
        <f t="shared" si="169"/>
        <v>#NUM!</v>
      </c>
      <c r="G476" s="196" t="e">
        <f t="shared" si="170"/>
        <v>#NUM!</v>
      </c>
      <c r="H476" s="195" t="e">
        <f t="shared" si="171"/>
        <v>#NUM!</v>
      </c>
      <c r="I476" s="244">
        <f>IF(J478&lt;13,J478,"")</f>
        <v>6</v>
      </c>
      <c r="J476" s="224">
        <f>J475+3</f>
        <v>3</v>
      </c>
      <c r="K476" s="501" t="str">
        <f t="shared" si="168"/>
        <v>+Inflat.-P</v>
      </c>
      <c r="L476" s="511" t="e">
        <f>IF(M469="Stufe A",IF(AND(L470="Auswahl treffen",D475&gt;=0,D475&lt;=1000),J469,IF(AND(L470="Vermögend und ambulant",D475&gt;8,D475&lt;=1000),130,IF(AND(L470="Vermögend und ambulant",D475&gt;4,D475&lt;=8),158,IF(AND(L470="Vermögend und ambulant",D475&gt;2,D475&lt;=4),192,IF(AND(L470="Vermögend und ambulant",D475&gt;1,D475&lt;=2),208,IF(AND(L470="Vermögend und ambulant",D475&gt;0,D475&lt;=1),298,IF(AND(L470="Vermögend und stationär",D475&gt;8,D475&lt;=1000),78,IF(AND(L470="Vermögend und stationär",D475&gt;4,D475&lt;=8),91,IF(AND(L470="Vermögend und stationär",D475&gt;2,D475&lt;=4),140,IF(AND(L470="Vermögend und stationär",D475&gt;1,D475&lt;=2),158,IF(AND(L470="Vermögend und stationär",D475&gt;0,D475&lt;=1),200,IF(AND(L470="Mittellos und ambulant",D475&gt;8,D475&lt;=1000),105,IF(AND(L470="Mittellos und ambulant",D475&gt;4,D475&lt;=8),122,IF(AND(L470="Mittellos und ambulant",D475&gt;2,D475&lt;=4),151,IF(AND(L470="Mittellos und ambulant",D475&gt;1,D475&lt;=2),170,IF(AND(L470="Mittellos und ambulant",D475&gt;0,D475&lt;=1),208,IF(AND(L470="Mittellos und stationär",D475&gt;8,D475&lt;=1000),62,IF(AND(L470="Mittellos und stationär",D475&gt;4,D475&lt;=8),87,IF(AND(L470="Mittellos und stationär",D475&gt;2,D475&lt;=4),124,IF(AND(L470="Mittellos und stationär",D475&gt;1,D475&lt;=2),129,IF(AND(L470="Mittellos und stationär",D475&gt;0,D475&lt;=1),194,""))))))))))))))))))))),IF(M469="Stufe B",IF(AND(L470="Auswahl treffen",D475&gt;=0,D475&lt;=1000),J469,IF(AND(L470="Vermögend und ambulant",D475&gt;8,D475&lt;=1000),161,IF(AND(L470="Vermögend und ambulant",D475&gt;4,D475&lt;=8),196,IF(AND(L470="Vermögend und ambulant",D475&gt;2,D475&lt;=4),238,IF(AND(L470="Vermögend und ambulant",D475&gt;1,D475&lt;=2),258,IF(AND(L470="Vermögend und ambulant",D475&gt;0,D475&lt;=1),370,IF(AND(L470="Vermögend und stationär",D475&gt;8,D475&lt;=1000),96,IF(AND(L470="Vermögend und stationär",D475&gt;4,D475&lt;=8),113,IF(AND(L470="Vermögend und stationär",D475&gt;2,D475&lt;=4),174,IF(AND(L470="Vermögend und stationär",D475&gt;1,D475&lt;=2),196,IF(AND(L470="Vermögend und stationär",D475&gt;0,D475&lt;=1),249,IF(AND(L470="Mittellos und ambulant",D475&gt;8,D475&lt;=1000),130,IF(AND(L470="Mittellos und ambulant",D475&gt;4,D475&lt;=8),151,IF(AND(L470="Mittellos und ambulant",D475&gt;2,D475&lt;=4),188,IF(AND(L470="Mittellos und ambulant",D475&gt;1,D475&lt;=2),211,IF(AND(L470="Mittellos und ambulant",D475&gt;0,D475&lt;=1),258,IF(AND(L470="Mittellos und stationär",D475&gt;8,D475&lt;=1000),78,IF(AND(L470="Mittellos und stationär",D475&gt;4,D475&lt;=8),107,IF(AND(L470="Mittellos und stationär",D475&gt;2,D475&lt;=4),154,IF(AND(L470="Mittellos und stationär",D475&gt;1,D475&lt;=2),158,IF(AND(L470="Mittellos und stationär",D475&gt;0,D475&lt;=1),241,""))))))))))))))))))))),IF(M469="Stufe C",IF(AND(L470="Auswahl treffen",D475&gt;=0,D475&lt;=1000),J469,IF(AND(L470="Vermögend und ambulant",D475&gt;8,D475&lt;=1000),211,IF(AND(L470="Vermögend und ambulant",D475&gt;4,D475&lt;=8),257,IF(AND(L470="Vermögend und ambulant",D475&gt;2,D475&lt;=4),312,IF(AND(L470="Vermögend und ambulant",D475&gt;1,D475&lt;=2),339,IF(AND(L470="Vermögend und ambulant",D475&gt;0,D475&lt;=1),486,IF(AND(L470="Vermögend und stationär",D475&gt;8,D475&lt;=1000),127,IF(AND(L470="Vermögend und stationär",D475&gt;4,D475&lt;=8),149,IF(AND(L470="Vermögend und stationär",D475&gt;2,D475&lt;=4),229,IF(AND(L470="Vermögend und stationär",D475&gt;1,D475&lt;=2),257,IF(AND(L470="Vermögend und stationär",D475&gt;0,D475&lt;=1),327,IF(AND(L470="Mittellos und ambulant",D475&gt;8,D475&lt;=1000),171,IF(AND(L470="Mittellos und ambulant",D475&gt;4,D475&lt;=8),198,IF(AND(L470="Mittellos und ambulant",D475&gt;2,D475&lt;=4),246,IF(AND(L470="Mittellos und ambulant",D475&gt;1,D475&lt;=2),277,IF(AND(L470="Mittellos und ambulant",D475&gt;0,D475&lt;=1),339,IF(AND(L470="Mittellos und stationär",D475&gt;8,D475&lt;=1000),102,IF(AND(L470="Mittellos und stationär",D475&gt;4,D475&lt;=8),141,IF(AND(L470="Mittellos und stationär",D475&gt;2,D475&lt;=4),202,IF(AND(L470="Mittellos und stationär",D475&gt;1,D475&lt;=2),208,IF(AND(L470="Mittellos und stationär",D475&gt;0,D475&lt;=1),317,""))))))))))))))))))))),"")))*3+(J469*90)</f>
        <v>#NUM!</v>
      </c>
      <c r="M476" s="507" t="str">
        <f>CONCATENATE(K476, K475)</f>
        <v>+Inflat.-P</v>
      </c>
      <c r="N476" s="206"/>
      <c r="O476" s="207"/>
      <c r="P476" s="206" t="s">
        <v>118</v>
      </c>
      <c r="Q476" s="226"/>
      <c r="R476" s="189"/>
      <c r="S476" s="203"/>
      <c r="T476" s="203"/>
      <c r="U476" s="204"/>
      <c r="V476" s="192"/>
      <c r="W476" s="203"/>
      <c r="X476" s="203"/>
      <c r="Y476" s="204"/>
      <c r="Z476" s="192"/>
      <c r="AA476" s="209" t="s">
        <v>118</v>
      </c>
      <c r="AB476" s="209" t="s">
        <v>117</v>
      </c>
      <c r="AC476" s="204" t="s">
        <v>26</v>
      </c>
      <c r="AD476" s="192"/>
      <c r="AE476" s="203"/>
      <c r="AF476" s="203"/>
      <c r="AG476" s="204"/>
      <c r="AH476" s="193"/>
      <c r="AI476" s="203"/>
      <c r="AJ476" s="203"/>
      <c r="AK476" s="375"/>
      <c r="AL476" s="348" t="s">
        <v>150</v>
      </c>
      <c r="AM476" s="354"/>
      <c r="AN476" s="354"/>
      <c r="AO476" s="354">
        <f>IF(SUM(P470:P478)=SUM(AA470:AA478), 0, SUM(P470:P478)-SUM(AA470:AA478))</f>
        <v>0</v>
      </c>
      <c r="AP476" s="354"/>
      <c r="AQ476" s="350">
        <f>AM476+AN476+AO476+AP476</f>
        <v>0</v>
      </c>
      <c r="AR476" s="769"/>
      <c r="AS476" s="769"/>
      <c r="AT476" s="769"/>
      <c r="BM476" s="335"/>
    </row>
    <row r="477" spans="1:65" ht="22.25" customHeight="1">
      <c r="A477" s="181">
        <f t="shared" si="164"/>
        <v>45292</v>
      </c>
      <c r="B477" s="486"/>
      <c r="C477" s="489" t="s">
        <v>158</v>
      </c>
      <c r="D477" s="529" t="e">
        <f>D475+1</f>
        <v>#NUM!</v>
      </c>
      <c r="E477" s="211" t="e">
        <f>DATE(YEAR(E476),MONTH(E476),DAY(E476)+1)</f>
        <v>#NUM!</v>
      </c>
      <c r="F477" s="227" t="e">
        <f t="shared" si="169"/>
        <v>#NUM!</v>
      </c>
      <c r="G477" s="228" t="e">
        <f t="shared" si="170"/>
        <v>#NUM!</v>
      </c>
      <c r="H477" s="227" t="e">
        <f t="shared" si="171"/>
        <v>#NUM!</v>
      </c>
      <c r="I477" s="231">
        <f>IF(J476&lt;13,J476,"")</f>
        <v>3</v>
      </c>
      <c r="J477" s="230">
        <f>J478+3</f>
        <v>9</v>
      </c>
      <c r="K477" s="506" t="str">
        <f t="shared" si="168"/>
        <v/>
      </c>
      <c r="L477" s="471"/>
      <c r="M477" s="473" t="e">
        <f ca="1">SUM(J470-E478)&amp;" Tage"</f>
        <v>#NUM!</v>
      </c>
      <c r="N477" s="216"/>
      <c r="O477" s="188"/>
      <c r="P477" s="188"/>
      <c r="Q477" s="217"/>
      <c r="R477" s="189"/>
      <c r="S477" s="190"/>
      <c r="T477" s="190"/>
      <c r="U477" s="191"/>
      <c r="V477" s="192"/>
      <c r="W477" s="190"/>
      <c r="X477" s="190"/>
      <c r="Y477" s="191"/>
      <c r="Z477" s="192"/>
      <c r="AA477" s="190"/>
      <c r="AB477" s="190"/>
      <c r="AC477" s="191"/>
      <c r="AD477" s="192"/>
      <c r="AE477" s="190"/>
      <c r="AF477" s="190"/>
      <c r="AG477" s="191"/>
      <c r="AH477" s="193"/>
      <c r="AI477" s="190"/>
      <c r="AJ477" s="190"/>
      <c r="AK477" s="374"/>
      <c r="AL477" s="348"/>
      <c r="AM477" s="354"/>
      <c r="AN477" s="354"/>
      <c r="AO477" s="354"/>
      <c r="AP477" s="354"/>
      <c r="AQ477" s="350"/>
      <c r="AR477" s="769"/>
      <c r="AS477" s="769"/>
      <c r="AT477" s="769"/>
      <c r="BM477" s="335"/>
    </row>
    <row r="478" spans="1:65" ht="22.25" customHeight="1">
      <c r="A478" s="181">
        <f t="shared" si="164"/>
        <v>45292</v>
      </c>
      <c r="B478" s="485"/>
      <c r="C478" s="490"/>
      <c r="D478" s="530"/>
      <c r="E478" s="218" t="e">
        <f>DATE(YEAR(E477),MONTH(E477)+3,DAY(E477)-1)</f>
        <v>#NUM!</v>
      </c>
      <c r="F478" s="227" t="e">
        <f t="shared" si="169"/>
        <v>#NUM!</v>
      </c>
      <c r="G478" s="228" t="e">
        <f t="shared" si="170"/>
        <v>#NUM!</v>
      </c>
      <c r="H478" s="227" t="e">
        <f t="shared" si="171"/>
        <v>#NUM!</v>
      </c>
      <c r="I478" s="231">
        <f>IF(J475&lt;13,J475,"")</f>
        <v>0</v>
      </c>
      <c r="J478" s="230">
        <f>J476+3</f>
        <v>6</v>
      </c>
      <c r="K478" s="501" t="str">
        <f t="shared" si="168"/>
        <v>+Inflat.-P</v>
      </c>
      <c r="L478" s="508" t="e">
        <f>IF(M469="Stufe A",IF(AND(L470="Auswahl treffen",D477&gt;=0,D477&lt;=1000),J469,IF(AND(L470="Vermögend und ambulant",D477&gt;8,D477&lt;=1000),130,IF(AND(L470="Vermögend und ambulant",D477&gt;4,D477&lt;=8),158,IF(AND(L470="Vermögend und ambulant",D477&gt;2,D477&lt;=4),192,IF(AND(L470="Vermögend und ambulant",D477&gt;1,D477&lt;=2),208,IF(AND(L470="Vermögend und ambulant",D477&gt;0,D477&lt;=1),298,IF(AND(L470="Vermögend und stationär",D477&gt;8,D477&lt;=1000),78,IF(AND(L470="Vermögend und stationär",D477&gt;4,D477&lt;=8),91,IF(AND(L470="Vermögend und stationär",D477&gt;2,D477&lt;=4),140,IF(AND(L470="Vermögend und stationär",D477&gt;1,D477&lt;=2),158,IF(AND(L470="Vermögend und stationär",D477&gt;0,D477&lt;=1),200,IF(AND(L470="Mittellos und ambulant",D477&gt;8,D477&lt;=1000),105,IF(AND(L470="Mittellos und ambulant",D477&gt;4,D477&lt;=8),122,IF(AND(L470="Mittellos und ambulant",D477&gt;2,D477&lt;=4),151,IF(AND(L470="Mittellos und ambulant",D477&gt;1,D477&lt;=2),170,IF(AND(L470="Mittellos und ambulant",D477&gt;0,D477&lt;=1),208,IF(AND(L470="Mittellos und stationär",D477&gt;8,D477&lt;=1000),62,IF(AND(L470="Mittellos und stationär",D477&gt;4,D477&lt;=8),87,IF(AND(L470="Mittellos und stationär",D477&gt;2,D477&lt;=4),124,IF(AND(L470="Mittellos und stationär",D477&gt;1,D477&lt;=2),129,IF(AND(L470="Mittellos und stationär",D477&gt;0,D477&lt;=1),194,""))))))))))))))))))))),IF(M469="Stufe B",IF(AND(L470="Auswahl treffen",D477&gt;=0,D477&lt;=1000),J469,IF(AND(L470="Vermögend und ambulant",D477&gt;8,D477&lt;=1000),161,IF(AND(L470="Vermögend und ambulant",D477&gt;4,D477&lt;=8),196,IF(AND(L470="Vermögend und ambulant",D477&gt;2,D477&lt;=4),238,IF(AND(L470="Vermögend und ambulant",D477&gt;1,D477&lt;=2),258,IF(AND(L470="Vermögend und ambulant",D477&gt;0,D477&lt;=1),370,IF(AND(L470="Vermögend und stationär",D477&gt;8,D477&lt;=1000),96,IF(AND(L470="Vermögend und stationär",D477&gt;4,D477&lt;=8),113,IF(AND(L470="Vermögend und stationär",D477&gt;2,D477&lt;=4),174,IF(AND(L470="Vermögend und stationär",D477&gt;1,D477&lt;=2),196,IF(AND(L470="Vermögend und stationär",D477&gt;0,D477&lt;=1),249,IF(AND(L470="Mittellos und ambulant",D477&gt;8,D477&lt;=1000),130,IF(AND(L470="Mittellos und ambulant",D477&gt;4,D477&lt;=8),151,IF(AND(L470="Mittellos und ambulant",D477&gt;2,D477&lt;=4),188,IF(AND(L470="Mittellos und ambulant",D477&gt;1,D477&lt;=2),211,IF(AND(L470="Mittellos und ambulant",D477&gt;0,D477&lt;=1),258,IF(AND(L470="Mittellos und stationär",D477&gt;8,D477&lt;=1000),78,IF(AND(L470="Mittellos und stationär",D477&gt;4,D477&lt;=8),107,IF(AND(L470="Mittellos und stationär",D477&gt;2,D477&lt;=4),154,IF(AND(L470="Mittellos und stationär",D477&gt;1,D477&lt;=2),158,IF(AND(L470="Mittellos und stationär",D477&gt;0,D477&lt;=1),241,""))))))))))))))))))))),IF(M469="Stufe C",IF(AND(L470="Auswahl treffen",D477&gt;=0,D477&lt;=1000),J469,IF(AND(L470="Vermögend und ambulant",D477&gt;8,D477&lt;=1000),211,IF(AND(L470="Vermögend und ambulant",D477&gt;4,D477&lt;=8),257,IF(AND(L470="Vermögend und ambulant",D477&gt;2,D477&lt;=4),312,IF(AND(L470="Vermögend und ambulant",D477&gt;1,D477&lt;=2),339,IF(AND(L470="Vermögend und ambulant",D477&gt;0,D477&lt;=1),486,IF(AND(L470="Vermögend und stationär",D477&gt;8,D477&lt;=1000),127,IF(AND(L470="Vermögend und stationär",D477&gt;4,D477&lt;=8),149,IF(AND(L470="Vermögend und stationär",D477&gt;2,D477&lt;=4),229,IF(AND(L470="Vermögend und stationär",D477&gt;1,D477&lt;=2),257,IF(AND(L470="Vermögend und stationär",D477&gt;0,D477&lt;=1),327,IF(AND(L470="Mittellos und ambulant",D477&gt;8,D477&lt;=1000),171,IF(AND(L470="Mittellos und ambulant",D477&gt;4,D477&lt;=8),198,IF(AND(L470="Mittellos und ambulant",D477&gt;2,D477&lt;=4),246,IF(AND(L470="Mittellos und ambulant",D477&gt;1,D477&lt;=2),277,IF(AND(L470="Mittellos und ambulant",D477&gt;0,D477&lt;=1),339,IF(AND(L470="Mittellos und stationär",D477&gt;8,D477&lt;=1000),102,IF(AND(L470="Mittellos und stationär",D477&gt;4,D477&lt;=8),141,IF(AND(L470="Mittellos und stationär",D477&gt;2,D477&lt;=4),202,IF(AND(L470="Mittellos und stationär",D477&gt;1,D477&lt;=2),208,IF(AND(L470="Mittellos und stationär",D477&gt;0,D477&lt;=1),317,""))))))))))))))))))))),"")))*3+(J469*90)</f>
        <v>#NUM!</v>
      </c>
      <c r="M478" s="507" t="str">
        <f>CONCATENATE(K478, K477)</f>
        <v>+Inflat.-P</v>
      </c>
      <c r="N478" s="216"/>
      <c r="O478" s="188"/>
      <c r="P478" s="188"/>
      <c r="Q478" s="217" t="s">
        <v>118</v>
      </c>
      <c r="R478" s="189"/>
      <c r="S478" s="190"/>
      <c r="T478" s="190"/>
      <c r="U478" s="191"/>
      <c r="V478" s="192"/>
      <c r="W478" s="190"/>
      <c r="X478" s="190"/>
      <c r="Y478" s="191"/>
      <c r="Z478" s="192"/>
      <c r="AA478" s="190"/>
      <c r="AB478" s="190"/>
      <c r="AC478" s="191"/>
      <c r="AD478" s="192"/>
      <c r="AE478" s="190" t="s">
        <v>118</v>
      </c>
      <c r="AF478" s="190" t="s">
        <v>117</v>
      </c>
      <c r="AG478" s="191" t="s">
        <v>26</v>
      </c>
      <c r="AH478" s="193"/>
      <c r="AI478" s="190" t="s">
        <v>118</v>
      </c>
      <c r="AJ478" s="190" t="s">
        <v>117</v>
      </c>
      <c r="AK478" s="374" t="s">
        <v>26</v>
      </c>
      <c r="AL478" s="348" t="s">
        <v>151</v>
      </c>
      <c r="AM478" s="354"/>
      <c r="AN478" s="354"/>
      <c r="AO478" s="354"/>
      <c r="AP478" s="354">
        <f>IF(SUM(Q470:Q478)=SUM(AE470:AE478,AI470:AI478), 0, SUM(Q470:Q478)-SUM(AE470:AE478,AI470:AI478))</f>
        <v>0</v>
      </c>
      <c r="AQ478" s="350">
        <f>AM478+AN478+AO478+AP478</f>
        <v>0</v>
      </c>
      <c r="AR478" s="769"/>
      <c r="AS478" s="769"/>
      <c r="AT478" s="769"/>
      <c r="BM478" s="335"/>
    </row>
    <row r="479" spans="1:65" ht="22" customHeight="1">
      <c r="A479" s="181">
        <f t="shared" si="164"/>
        <v>45292</v>
      </c>
      <c r="B479" s="232" t="s">
        <v>74</v>
      </c>
      <c r="C479" s="233" t="s">
        <v>75</v>
      </c>
      <c r="D479" s="234" t="s">
        <v>76</v>
      </c>
      <c r="E479" s="235" t="s">
        <v>11</v>
      </c>
      <c r="F479" s="235" t="s">
        <v>4</v>
      </c>
      <c r="G479" s="235" t="s">
        <v>5</v>
      </c>
      <c r="H479" s="235" t="s">
        <v>6</v>
      </c>
      <c r="I479" s="236" t="s">
        <v>77</v>
      </c>
      <c r="J479" s="479"/>
      <c r="K479" s="506" t="str">
        <f t="shared" si="168"/>
        <v/>
      </c>
      <c r="L479" s="479" t="str">
        <f>IFERROR(VLOOKUP(B480,'Aktuelle Einnahmen'!A2:J104,10,0),"")</f>
        <v/>
      </c>
      <c r="M479" s="512" t="str">
        <f>M469</f>
        <v>Stufe C</v>
      </c>
      <c r="N479" s="237"/>
      <c r="O479" s="238"/>
      <c r="P479" s="238"/>
      <c r="Q479" s="239"/>
      <c r="R479" s="240"/>
      <c r="S479" s="241"/>
      <c r="T479" s="241"/>
      <c r="U479" s="242"/>
      <c r="V479" s="243"/>
      <c r="W479" s="241"/>
      <c r="X479" s="241"/>
      <c r="Y479" s="242"/>
      <c r="Z479" s="243"/>
      <c r="AA479" s="241"/>
      <c r="AB479" s="241"/>
      <c r="AC479" s="242"/>
      <c r="AD479" s="243"/>
      <c r="AE479" s="241"/>
      <c r="AF479" s="241"/>
      <c r="AG479" s="242"/>
      <c r="AH479" s="240"/>
      <c r="AI479" s="241"/>
      <c r="AJ479" s="241"/>
      <c r="AK479" s="377"/>
      <c r="AL479" s="347"/>
      <c r="AM479" s="353"/>
      <c r="AN479" s="353"/>
      <c r="AO479" s="353"/>
      <c r="AP479" s="353"/>
      <c r="AQ479" s="349"/>
      <c r="AR479" s="768"/>
      <c r="AS479" s="768"/>
      <c r="AT479" s="768"/>
      <c r="BM479" s="335"/>
    </row>
    <row r="480" spans="1:65" ht="23" customHeight="1">
      <c r="A480" s="181">
        <f t="shared" si="164"/>
        <v>45292</v>
      </c>
      <c r="B480" s="182">
        <v>48</v>
      </c>
      <c r="C480" s="245">
        <f>IFERROR(VLOOKUP($B480,'Aktuelle Einnahmen'!A2:G104,3,0),"")</f>
        <v>0</v>
      </c>
      <c r="D480" s="246">
        <f>IFERROR(VLOOKUP($B480,'Aktuelle Einnahmen'!A2:G104,2,0),"")</f>
        <v>0</v>
      </c>
      <c r="E480" s="247">
        <f>IFERROR(VLOOKUP($B480,'Aktuelle Einnahmen'!A2:G104,4,0),"")</f>
        <v>0</v>
      </c>
      <c r="F480" s="94">
        <f>IFERROR(VLOOKUP($B480,'Aktuelle Einnahmen'!A2:G104,5,0),"")</f>
        <v>0</v>
      </c>
      <c r="G480" s="94">
        <f>IFERROR(VLOOKUP($B480,'Aktuelle Einnahmen'!A2:G104,6,0),"")</f>
        <v>0</v>
      </c>
      <c r="H480" s="94">
        <f>IFERROR(VLOOKUP($B480,'Aktuelle Einnahmen'!A2:G104,7,0),"")</f>
        <v>0</v>
      </c>
      <c r="I480" s="186" t="e">
        <f>DATE(H480,G480,F480)</f>
        <v>#NUM!</v>
      </c>
      <c r="J480" s="472">
        <f ca="1">J470</f>
        <v>45475</v>
      </c>
      <c r="K480" s="501" t="str">
        <f t="shared" si="168"/>
        <v>+Inflat.-P</v>
      </c>
      <c r="L480" s="1262" t="str">
        <f>IFERROR(VLOOKUP(B480,'Aktuelle Einnahmen'!A12:I114,9,0),"")</f>
        <v>Auswahl treffen</v>
      </c>
      <c r="M480" s="1263"/>
      <c r="N480" s="261"/>
      <c r="O480" s="261"/>
      <c r="P480" s="261"/>
      <c r="Q480" s="261"/>
      <c r="R480" s="189"/>
      <c r="S480" s="190"/>
      <c r="T480" s="190"/>
      <c r="U480" s="191"/>
      <c r="V480" s="192"/>
      <c r="W480" s="190"/>
      <c r="X480" s="190"/>
      <c r="Y480" s="191"/>
      <c r="Z480" s="192"/>
      <c r="AA480" s="190"/>
      <c r="AB480" s="190"/>
      <c r="AC480" s="191"/>
      <c r="AD480" s="192"/>
      <c r="AE480" s="190"/>
      <c r="AF480" s="190"/>
      <c r="AG480" s="191"/>
      <c r="AH480" s="193"/>
      <c r="AI480" s="190"/>
      <c r="AJ480" s="190"/>
      <c r="AK480" s="374"/>
      <c r="AL480" s="348"/>
      <c r="AM480" s="354"/>
      <c r="AN480" s="354"/>
      <c r="AO480" s="354"/>
      <c r="AP480" s="354"/>
      <c r="AQ480" s="350"/>
      <c r="AR480" s="769"/>
      <c r="AS480" s="769"/>
      <c r="AT480" s="769"/>
      <c r="BM480" s="335"/>
    </row>
    <row r="481" spans="1:65" ht="22.25" customHeight="1">
      <c r="A481" s="181">
        <f t="shared" si="164"/>
        <v>45292</v>
      </c>
      <c r="B481" s="484" t="e">
        <f>DAY(I480)</f>
        <v>#NUM!</v>
      </c>
      <c r="C481" s="489" t="s">
        <v>158</v>
      </c>
      <c r="D481" s="520" t="e">
        <f>(I481*4)+J481/3+1</f>
        <v>#NUM!</v>
      </c>
      <c r="E481" s="194" t="e">
        <f>J483+1</f>
        <v>#NUM!</v>
      </c>
      <c r="F481" s="195" t="e">
        <f t="shared" ref="F481:F488" si="172">DAY(E481)</f>
        <v>#NUM!</v>
      </c>
      <c r="G481" s="196" t="e">
        <f t="shared" ref="G481:G488" si="173">MONTH(E481)</f>
        <v>#NUM!</v>
      </c>
      <c r="H481" s="195" t="e">
        <f t="shared" ref="H481:H488" si="174">YEAR(E481)</f>
        <v>#NUM!</v>
      </c>
      <c r="I481" s="197" t="e">
        <f>H481-(H480+2000)</f>
        <v>#NUM!</v>
      </c>
      <c r="J481" s="198" t="e">
        <f>G481-G480</f>
        <v>#NUM!</v>
      </c>
      <c r="K481" s="506" t="str">
        <f>L479</f>
        <v/>
      </c>
      <c r="L481" s="469"/>
      <c r="M481" s="473" t="e">
        <f ca="1">SUM(J480-E482)&amp;" Tage"</f>
        <v>#NUM!</v>
      </c>
      <c r="N481" s="206"/>
      <c r="O481" s="201"/>
      <c r="P481" s="201"/>
      <c r="Q481" s="202"/>
      <c r="R481" s="189"/>
      <c r="S481" s="203"/>
      <c r="T481" s="203"/>
      <c r="U481" s="204"/>
      <c r="V481" s="192"/>
      <c r="W481" s="203"/>
      <c r="X481" s="203"/>
      <c r="Y481" s="204"/>
      <c r="Z481" s="192"/>
      <c r="AA481" s="203"/>
      <c r="AB481" s="203"/>
      <c r="AC481" s="204"/>
      <c r="AD481" s="192"/>
      <c r="AE481" s="203"/>
      <c r="AF481" s="203"/>
      <c r="AG481" s="204"/>
      <c r="AH481" s="193"/>
      <c r="AI481" s="203"/>
      <c r="AJ481" s="203"/>
      <c r="AK481" s="375"/>
      <c r="AL481" s="348"/>
      <c r="AM481" s="354"/>
      <c r="AN481" s="354"/>
      <c r="AO481" s="354"/>
      <c r="AP481" s="354"/>
      <c r="AQ481" s="350"/>
      <c r="AR481" s="769"/>
      <c r="AS481" s="769"/>
      <c r="AT481" s="769"/>
      <c r="BM481" s="335"/>
    </row>
    <row r="482" spans="1:65" ht="22.25" customHeight="1">
      <c r="A482" s="181">
        <f t="shared" si="164"/>
        <v>45292</v>
      </c>
      <c r="B482" s="485"/>
      <c r="C482" s="490"/>
      <c r="D482" s="521"/>
      <c r="E482" s="194" t="e">
        <f>DATE(YEAR(E481),MONTH(E481)+3,DAY(E481)-1)</f>
        <v>#NUM!</v>
      </c>
      <c r="F482" s="195" t="e">
        <f t="shared" si="172"/>
        <v>#NUM!</v>
      </c>
      <c r="G482" s="196" t="e">
        <f t="shared" si="173"/>
        <v>#NUM!</v>
      </c>
      <c r="H482" s="195" t="e">
        <f t="shared" si="174"/>
        <v>#NUM!</v>
      </c>
      <c r="I482" s="244">
        <v>-1</v>
      </c>
      <c r="J482" s="198" t="e">
        <f>F481-F480</f>
        <v>#NUM!</v>
      </c>
      <c r="K482" s="506" t="str">
        <f t="shared" si="168"/>
        <v>+Inflat.-P</v>
      </c>
      <c r="L482" s="511" t="e">
        <f>IF(M479="Stufe A",IF(AND(L480="Auswahl treffen",D481&gt;=0,D481&lt;=1000),J479,IF(AND(L480="Vermögend und ambulant",D481&gt;8,D481&lt;=1000),130,IF(AND(L480="Vermögend und ambulant",D481&gt;4,D481&lt;=8),158,IF(AND(L480="Vermögend und ambulant",D481&gt;2,D481&lt;=4),192,IF(AND(L480="Vermögend und ambulant",D481&gt;1,D481&lt;=2),208,IF(AND(L480="Vermögend und ambulant",D481&gt;0,D481&lt;=1),298,IF(AND(L480="Vermögend und stationär",D481&gt;8,D481&lt;=1000),78,IF(AND(L480="Vermögend und stationär",D481&gt;4,D481&lt;=8),91,IF(AND(L480="Vermögend und stationär",D481&gt;2,D481&lt;=4),140,IF(AND(L480="Vermögend und stationär",D481&gt;1,D481&lt;=2),158,IF(AND(L480="Vermögend und stationär",D481&gt;0,D481&lt;=1),200,IF(AND(L480="Mittellos und ambulant",D481&gt;8,D481&lt;=1000),105,IF(AND(L480="Mittellos und ambulant",D481&gt;4,D481&lt;=8),122,IF(AND(L480="Mittellos und ambulant",D481&gt;2,D481&lt;=4),151,IF(AND(L480="Mittellos und ambulant",D481&gt;1,D481&lt;=2),170,IF(AND(L480="Mittellos und ambulant",D481&gt;0,D481&lt;=1),208,IF(AND(L480="Mittellos und stationär",D481&gt;8,D481&lt;=1000),62,IF(AND(L480="Mittellos und stationär",D481&gt;4,D481&lt;=8),87,IF(AND(L480="Mittellos und stationär",D481&gt;2,D481&lt;=4),124,IF(AND(L480="Mittellos und stationär",D481&gt;1,D481&lt;=2),129,IF(AND(L480="Mittellos und stationär",D481&gt;0,D481&lt;=1),194,""))))))))))))))))))))),IF(M479="Stufe B",IF(AND(L480="Auswahl treffen",D481&gt;=0,D481&lt;=1000),J479,IF(AND(L480="Vermögend und ambulant",D481&gt;8,D481&lt;=1000),161,IF(AND(L480="Vermögend und ambulant",D481&gt;4,D481&lt;=8),196,IF(AND(L480="Vermögend und ambulant",D481&gt;2,D481&lt;=4),238,IF(AND(L480="Vermögend und ambulant",D481&gt;1,D481&lt;=2),258,IF(AND(L480="Vermögend und ambulant",D481&gt;0,D481&lt;=1),370,IF(AND(L480="Vermögend und stationär",D481&gt;8,D481&lt;=1000),96,IF(AND(L480="Vermögend und stationär",D481&gt;4,D481&lt;=8),113,IF(AND(L480="Vermögend und stationär",D481&gt;2,D481&lt;=4),174,IF(AND(L480="Vermögend und stationär",D481&gt;1,D481&lt;=2),196,IF(AND(L480="Vermögend und stationär",D481&gt;0,D481&lt;=1),249,IF(AND(L480="Mittellos und ambulant",D481&gt;8,D481&lt;=1000),130,IF(AND(L480="Mittellos und ambulant",D481&gt;4,D481&lt;=8),151,IF(AND(L480="Mittellos und ambulant",D481&gt;2,D481&lt;=4),188,IF(AND(L480="Mittellos und ambulant",D481&gt;1,D481&lt;=2),211,IF(AND(L480="Mittellos und ambulant",D481&gt;0,D481&lt;=1),258,IF(AND(L480="Mittellos und stationär",D481&gt;8,D481&lt;=1000),78,IF(AND(L480="Mittellos und stationär",D481&gt;4,D481&lt;=8),107,IF(AND(L480="Mittellos und stationär",D481&gt;2,D481&lt;=4),154,IF(AND(L480="Mittellos und stationär",D481&gt;1,D481&lt;=2),158,IF(AND(L480="Mittellos und stationär",D481&gt;0,D481&lt;=1),241,""))))))))))))))))))))),IF(M479="Stufe C",IF(AND(L480="Auswahl treffen",D481&gt;=0,D481&lt;=1000),J479,IF(AND(L480="Vermögend und ambulant",D481&gt;8,D481&lt;=1000),211,IF(AND(L480="Vermögend und ambulant",D481&gt;4,D481&lt;=8),257,IF(AND(L480="Vermögend und ambulant",D481&gt;2,D481&lt;=4),312,IF(AND(L480="Vermögend und ambulant",D481&gt;1,D481&lt;=2),339,IF(AND(L480="Vermögend und ambulant",D481&gt;0,D481&lt;=1),486,IF(AND(L480="Vermögend und stationär",D481&gt;8,D481&lt;=1000),127,IF(AND(L480="Vermögend und stationär",D481&gt;4,D481&lt;=8),149,IF(AND(L480="Vermögend und stationär",D481&gt;2,D481&lt;=4),229,IF(AND(L480="Vermögend und stationär",D481&gt;1,D481&lt;=2),257,IF(AND(L480="Vermögend und stationär",D481&gt;0,D481&lt;=1),327,IF(AND(L480="Mittellos und ambulant",D481&gt;8,D481&lt;=1000),171,IF(AND(L480="Mittellos und ambulant",D481&gt;4,D481&lt;=8),198,IF(AND(L480="Mittellos und ambulant",D481&gt;2,D481&lt;=4),246,IF(AND(L480="Mittellos und ambulant",D481&gt;1,D481&lt;=2),277,IF(AND(L480="Mittellos und ambulant",D481&gt;0,D481&lt;=1),339,IF(AND(L480="Mittellos und stationär",D481&gt;8,D481&lt;=1000),102,IF(AND(L480="Mittellos und stationär",D481&gt;4,D481&lt;=8),141,IF(AND(L480="Mittellos und stationär",D481&gt;2,D481&lt;=4),202,IF(AND(L480="Mittellos und stationär",D481&gt;1,D481&lt;=2),208,IF(AND(L480="Mittellos und stationär",D481&gt;0,D481&lt;=1),317,""))))))))))))))))))))),"")))*3+(J479*90)</f>
        <v>#NUM!</v>
      </c>
      <c r="M482" s="507" t="str">
        <f>CONCATENATE(K482, K481)</f>
        <v>+Inflat.-P</v>
      </c>
      <c r="N482" s="206" t="s">
        <v>118</v>
      </c>
      <c r="O482" s="207"/>
      <c r="P482" s="207"/>
      <c r="Q482" s="208"/>
      <c r="R482" s="187"/>
      <c r="S482" s="209" t="s">
        <v>118</v>
      </c>
      <c r="T482" s="201" t="s">
        <v>117</v>
      </c>
      <c r="U482" s="210" t="s">
        <v>26</v>
      </c>
      <c r="V482" s="192"/>
      <c r="W482" s="203"/>
      <c r="X482" s="203"/>
      <c r="Y482" s="210"/>
      <c r="Z482" s="192"/>
      <c r="AA482" s="203"/>
      <c r="AB482" s="203"/>
      <c r="AC482" s="210"/>
      <c r="AD482" s="192"/>
      <c r="AE482" s="203"/>
      <c r="AF482" s="203"/>
      <c r="AG482" s="210"/>
      <c r="AH482" s="193"/>
      <c r="AI482" s="203"/>
      <c r="AJ482" s="203"/>
      <c r="AK482" s="376"/>
      <c r="AL482" s="348" t="s">
        <v>148</v>
      </c>
      <c r="AM482" s="354">
        <f>IF(SUM(N480:N488)=SUM(S480:S488), 0, SUM(N480:N488)-SUM(S480:S488))</f>
        <v>0</v>
      </c>
      <c r="AN482" s="354"/>
      <c r="AO482" s="354"/>
      <c r="AP482" s="354"/>
      <c r="AQ482" s="350">
        <f>AM482+AN482+AO482+AP482</f>
        <v>0</v>
      </c>
      <c r="AR482" s="769"/>
      <c r="AS482" s="769"/>
      <c r="AT482" s="769"/>
      <c r="BM482" s="335"/>
    </row>
    <row r="483" spans="1:65" ht="22.25" customHeight="1">
      <c r="A483" s="181">
        <f t="shared" si="164"/>
        <v>45292</v>
      </c>
      <c r="B483" s="484" t="e">
        <f>MONTH(I480)</f>
        <v>#NUM!</v>
      </c>
      <c r="C483" s="489" t="s">
        <v>158</v>
      </c>
      <c r="D483" s="522" t="e">
        <f>D481+1</f>
        <v>#NUM!</v>
      </c>
      <c r="E483" s="211" t="e">
        <f>DATE(YEAR(E482),MONTH(E482),DAY(E482)+1)</f>
        <v>#NUM!</v>
      </c>
      <c r="F483" s="212" t="e">
        <f t="shared" si="172"/>
        <v>#NUM!</v>
      </c>
      <c r="G483" s="213" t="e">
        <f t="shared" si="173"/>
        <v>#NUM!</v>
      </c>
      <c r="H483" s="212" t="e">
        <f t="shared" si="174"/>
        <v>#NUM!</v>
      </c>
      <c r="I483" s="214" t="str">
        <f>IF(D480&lt;&gt;0,"-1T","")</f>
        <v/>
      </c>
      <c r="J483" s="215" t="e">
        <f>DATE($B485,I484,$B481)</f>
        <v>#NUM!</v>
      </c>
      <c r="K483" s="501" t="str">
        <f t="shared" si="168"/>
        <v/>
      </c>
      <c r="L483" s="470"/>
      <c r="M483" s="473" t="e">
        <f ca="1">SUM(J480-E484)&amp;" Tage"</f>
        <v>#NUM!</v>
      </c>
      <c r="N483" s="216"/>
      <c r="O483" s="217"/>
      <c r="P483" s="188"/>
      <c r="Q483" s="217"/>
      <c r="R483" s="189"/>
      <c r="S483" s="190"/>
      <c r="T483" s="190"/>
      <c r="U483" s="191"/>
      <c r="V483" s="192"/>
      <c r="W483" s="190"/>
      <c r="X483" s="190"/>
      <c r="Y483" s="191"/>
      <c r="Z483" s="192"/>
      <c r="AA483" s="190"/>
      <c r="AB483" s="190"/>
      <c r="AC483" s="191"/>
      <c r="AD483" s="192"/>
      <c r="AE483" s="190"/>
      <c r="AF483" s="190"/>
      <c r="AG483" s="191"/>
      <c r="AH483" s="193"/>
      <c r="AI483" s="190"/>
      <c r="AJ483" s="190"/>
      <c r="AK483" s="374"/>
      <c r="AL483" s="348"/>
      <c r="AM483" s="354"/>
      <c r="AN483" s="354"/>
      <c r="AO483" s="354"/>
      <c r="AP483" s="354"/>
      <c r="AQ483" s="350"/>
      <c r="AR483" s="769"/>
      <c r="AS483" s="769"/>
      <c r="AT483" s="769"/>
      <c r="BM483" s="335"/>
    </row>
    <row r="484" spans="1:65" ht="22.25" customHeight="1">
      <c r="A484" s="181">
        <f t="shared" si="164"/>
        <v>45292</v>
      </c>
      <c r="B484" s="485"/>
      <c r="C484" s="490"/>
      <c r="D484" s="521"/>
      <c r="E484" s="218" t="e">
        <f>DATE(YEAR(E483),MONTH(E483)+3,DAY(E483)-1)</f>
        <v>#NUM!</v>
      </c>
      <c r="F484" s="212" t="e">
        <f t="shared" si="172"/>
        <v>#NUM!</v>
      </c>
      <c r="G484" s="213" t="e">
        <f t="shared" si="173"/>
        <v>#NUM!</v>
      </c>
      <c r="H484" s="212" t="e">
        <f t="shared" si="174"/>
        <v>#NUM!</v>
      </c>
      <c r="I484" s="219">
        <f>MAX(I485:I488)</f>
        <v>9</v>
      </c>
      <c r="J484" s="220" t="e">
        <f>DATE(YEAR(J483)+1,MONTH(J483),DAY(J483))</f>
        <v>#NUM!</v>
      </c>
      <c r="K484" s="506" t="str">
        <f t="shared" si="168"/>
        <v>+Inflat.-P</v>
      </c>
      <c r="L484" s="508" t="e">
        <f>IF(M479="Stufe A",IF(AND(L480="Auswahl treffen",D483&gt;=0,D483&lt;=1000),J479,IF(AND(L480="Vermögend und ambulant",D483&gt;8,D483&lt;=1000),130,IF(AND(L480="Vermögend und ambulant",D483&gt;4,D483&lt;=8),158,IF(AND(L480="Vermögend und ambulant",D483&gt;2,D483&lt;=4),192,IF(AND(L480="Vermögend und ambulant",D483&gt;1,D483&lt;=2),208,IF(AND(L480="Vermögend und ambulant",D483&gt;0,D483&lt;=1),298,IF(AND(L480="Vermögend und stationär",D483&gt;8,D483&lt;=1000),78,IF(AND(L480="Vermögend und stationär",D483&gt;4,D483&lt;=8),91,IF(AND(L480="Vermögend und stationär",D483&gt;2,D483&lt;=4),140,IF(AND(L480="Vermögend und stationär",D483&gt;1,D483&lt;=2),158,IF(AND(L480="Vermögend und stationär",D483&gt;0,D483&lt;=1),200,IF(AND(L480="Mittellos und ambulant",D483&gt;8,D483&lt;=1000),105,IF(AND(L480="Mittellos und ambulant",D483&gt;4,D483&lt;=8),122,IF(AND(L480="Mittellos und ambulant",D483&gt;2,D483&lt;=4),151,IF(AND(L480="Mittellos und ambulant",D483&gt;1,D483&lt;=2),170,IF(AND(L480="Mittellos und ambulant",D483&gt;0,D483&lt;=1),208,IF(AND(L480="Mittellos und stationär",D483&gt;8,D483&lt;=1000),62,IF(AND(L480="Mittellos und stationär",D483&gt;4,D483&lt;=8),87,IF(AND(L480="Mittellos und stationär",D483&gt;2,D483&lt;=4),124,IF(AND(L480="Mittellos und stationär",D483&gt;1,D483&lt;=2),129,IF(AND(L480="Mittellos und stationär",D483&gt;0,D483&lt;=1),194,""))))))))))))))))))))),IF(M479="Stufe B",IF(AND(L480="Auswahl treffen",D483&gt;=0,D483&lt;=1000),J479,IF(AND(L480="Vermögend und ambulant",D483&gt;8,D483&lt;=1000),161,IF(AND(L480="Vermögend und ambulant",D483&gt;4,D483&lt;=8),196,IF(AND(L480="Vermögend und ambulant",D483&gt;2,D483&lt;=4),238,IF(AND(L480="Vermögend und ambulant",D483&gt;1,D483&lt;=2),258,IF(AND(L480="Vermögend und ambulant",D483&gt;0,D483&lt;=1),370,IF(AND(L480="Vermögend und stationär",D483&gt;8,D483&lt;=1000),96,IF(AND(L480="Vermögend und stationär",D483&gt;4,D483&lt;=8),113,IF(AND(L480="Vermögend und stationär",D483&gt;2,D483&lt;=4),174,IF(AND(L480="Vermögend und stationär",D483&gt;1,D483&lt;=2),196,IF(AND(L480="Vermögend und stationär",D483&gt;0,D483&lt;=1),249,IF(AND(L480="Mittellos und ambulant",D483&gt;8,D483&lt;=1000),130,IF(AND(L480="Mittellos und ambulant",D483&gt;4,D483&lt;=8),151,IF(AND(L480="Mittellos und ambulant",D483&gt;2,D483&lt;=4),188,IF(AND(L480="Mittellos und ambulant",D483&gt;1,D483&lt;=2),211,IF(AND(L480="Mittellos und ambulant",D483&gt;0,D483&lt;=1),258,IF(AND(L480="Mittellos und stationär",D483&gt;8,D483&lt;=1000),78,IF(AND(L480="Mittellos und stationär",D483&gt;4,D483&lt;=8),107,IF(AND(L480="Mittellos und stationär",D483&gt;2,D483&lt;=4),154,IF(AND(L480="Mittellos und stationär",D483&gt;1,D483&lt;=2),158,IF(AND(L480="Mittellos und stationär",D483&gt;0,D483&lt;=1),241,""))))))))))))))))))))),IF(M479="Stufe C",IF(AND(L480="Auswahl treffen",D483&gt;=0,D483&lt;=1000),J479,IF(AND(L480="Vermögend und ambulant",D483&gt;8,D483&lt;=1000),211,IF(AND(L480="Vermögend und ambulant",D483&gt;4,D483&lt;=8),257,IF(AND(L480="Vermögend und ambulant",D483&gt;2,D483&lt;=4),312,IF(AND(L480="Vermögend und ambulant",D483&gt;1,D483&lt;=2),339,IF(AND(L480="Vermögend und ambulant",D483&gt;0,D483&lt;=1),486,IF(AND(L480="Vermögend und stationär",D483&gt;8,D483&lt;=1000),127,IF(AND(L480="Vermögend und stationär",D483&gt;4,D483&lt;=8),149,IF(AND(L480="Vermögend und stationär",D483&gt;2,D483&lt;=4),229,IF(AND(L480="Vermögend und stationär",D483&gt;1,D483&lt;=2),257,IF(AND(L480="Vermögend und stationär",D483&gt;0,D483&lt;=1),327,IF(AND(L480="Mittellos und ambulant",D483&gt;8,D483&lt;=1000),171,IF(AND(L480="Mittellos und ambulant",D483&gt;4,D483&lt;=8),198,IF(AND(L480="Mittellos und ambulant",D483&gt;2,D483&lt;=4),246,IF(AND(L480="Mittellos und ambulant",D483&gt;1,D483&lt;=2),277,IF(AND(L480="Mittellos und ambulant",D483&gt;0,D483&lt;=1),339,IF(AND(L480="Mittellos und stationär",D483&gt;8,D483&lt;=1000),102,IF(AND(L480="Mittellos und stationär",D483&gt;4,D483&lt;=8),141,IF(AND(L480="Mittellos und stationär",D483&gt;2,D483&lt;=4),202,IF(AND(L480="Mittellos und stationär",D483&gt;1,D483&lt;=2),208,IF(AND(L480="Mittellos und stationär",D483&gt;0,D483&lt;=1),317,""))))))))))))))))))))),"")))*3+(J479*90)</f>
        <v>#NUM!</v>
      </c>
      <c r="M484" s="507" t="str">
        <f>CONCATENATE(K484, K483)</f>
        <v>+Inflat.-P</v>
      </c>
      <c r="N484" s="216"/>
      <c r="O484" s="188" t="s">
        <v>118</v>
      </c>
      <c r="P484" s="188"/>
      <c r="Q484" s="221"/>
      <c r="R484" s="199"/>
      <c r="S484" s="190"/>
      <c r="T484" s="190"/>
      <c r="U484" s="191"/>
      <c r="V484" s="192"/>
      <c r="W484" s="222" t="s">
        <v>118</v>
      </c>
      <c r="X484" s="222" t="s">
        <v>117</v>
      </c>
      <c r="Y484" s="191" t="s">
        <v>26</v>
      </c>
      <c r="Z484" s="192"/>
      <c r="AA484" s="190"/>
      <c r="AB484" s="190"/>
      <c r="AC484" s="191"/>
      <c r="AD484" s="192"/>
      <c r="AE484" s="190"/>
      <c r="AF484" s="190"/>
      <c r="AG484" s="191"/>
      <c r="AH484" s="193"/>
      <c r="AI484" s="190"/>
      <c r="AJ484" s="190"/>
      <c r="AK484" s="374"/>
      <c r="AL484" s="348" t="s">
        <v>149</v>
      </c>
      <c r="AM484" s="354"/>
      <c r="AN484" s="354">
        <f>IF(SUM(O480:O488)=SUM(W480:W488), 0, SUM(O480:O488)-SUM(W480:W488))</f>
        <v>0</v>
      </c>
      <c r="AO484" s="354"/>
      <c r="AP484" s="354"/>
      <c r="AQ484" s="350">
        <f>AM484+AN484+AO484+AP484</f>
        <v>0</v>
      </c>
      <c r="AR484" s="769"/>
      <c r="AS484" s="769"/>
      <c r="AT484" s="769"/>
      <c r="BM484" s="335"/>
    </row>
    <row r="485" spans="1:65" ht="22.25" customHeight="1">
      <c r="A485" s="181">
        <f t="shared" si="164"/>
        <v>45292</v>
      </c>
      <c r="B485" s="484">
        <f>YEAR($A486)-1</f>
        <v>2023</v>
      </c>
      <c r="C485" s="489" t="s">
        <v>158</v>
      </c>
      <c r="D485" s="520" t="e">
        <f>D483+1</f>
        <v>#NUM!</v>
      </c>
      <c r="E485" s="194" t="e">
        <f>DATE(YEAR(E484),MONTH(E484),DAY(E484)+1)</f>
        <v>#NUM!</v>
      </c>
      <c r="F485" s="195" t="e">
        <f t="shared" si="172"/>
        <v>#NUM!</v>
      </c>
      <c r="G485" s="196" t="e">
        <f t="shared" si="173"/>
        <v>#NUM!</v>
      </c>
      <c r="H485" s="195" t="e">
        <f t="shared" si="174"/>
        <v>#NUM!</v>
      </c>
      <c r="I485" s="197">
        <f>IF(J487&lt;13,J487,"")</f>
        <v>9</v>
      </c>
      <c r="J485" s="224">
        <f>G480</f>
        <v>0</v>
      </c>
      <c r="K485" s="501" t="str">
        <f t="shared" si="168"/>
        <v/>
      </c>
      <c r="L485" s="471"/>
      <c r="M485" s="473" t="e">
        <f ca="1">SUM(J480-E486)&amp;" Tage"</f>
        <v>#NUM!</v>
      </c>
      <c r="N485" s="200"/>
      <c r="O485" s="201"/>
      <c r="P485" s="201"/>
      <c r="Q485" s="202"/>
      <c r="R485" s="189"/>
      <c r="S485" s="203"/>
      <c r="T485" s="203"/>
      <c r="U485" s="204"/>
      <c r="V485" s="192"/>
      <c r="W485" s="203"/>
      <c r="X485" s="203"/>
      <c r="Y485" s="204"/>
      <c r="Z485" s="192"/>
      <c r="AA485" s="203"/>
      <c r="AB485" s="203"/>
      <c r="AC485" s="204"/>
      <c r="AD485" s="192"/>
      <c r="AE485" s="203"/>
      <c r="AF485" s="203"/>
      <c r="AG485" s="204"/>
      <c r="AH485" s="193"/>
      <c r="AI485" s="203"/>
      <c r="AJ485" s="203"/>
      <c r="AK485" s="375"/>
      <c r="AL485" s="348"/>
      <c r="AM485" s="354"/>
      <c r="AN485" s="354"/>
      <c r="AO485" s="354"/>
      <c r="AP485" s="354"/>
      <c r="AQ485" s="350"/>
      <c r="AR485" s="769"/>
      <c r="AS485" s="769"/>
      <c r="AT485" s="769"/>
      <c r="BM485" s="335"/>
    </row>
    <row r="486" spans="1:65" ht="22.25" customHeight="1">
      <c r="A486" s="181">
        <f t="shared" si="164"/>
        <v>45292</v>
      </c>
      <c r="B486" s="485"/>
      <c r="C486" s="490"/>
      <c r="D486" s="521"/>
      <c r="E486" s="194" t="e">
        <f>DATE(YEAR(E485),MONTH(E485)+3,DAY(E485)-1)</f>
        <v>#NUM!</v>
      </c>
      <c r="F486" s="195" t="e">
        <f t="shared" si="172"/>
        <v>#NUM!</v>
      </c>
      <c r="G486" s="196" t="e">
        <f t="shared" si="173"/>
        <v>#NUM!</v>
      </c>
      <c r="H486" s="195" t="e">
        <f t="shared" si="174"/>
        <v>#NUM!</v>
      </c>
      <c r="I486" s="244">
        <f>IF(J488&lt;13,J488,"")</f>
        <v>6</v>
      </c>
      <c r="J486" s="224">
        <f>J485+3</f>
        <v>3</v>
      </c>
      <c r="K486" s="506" t="str">
        <f t="shared" si="168"/>
        <v>+Inflat.-P</v>
      </c>
      <c r="L486" s="511" t="e">
        <f>IF(M479="Stufe A",IF(AND(L480="Auswahl treffen",D485&gt;=0,D485&lt;=1000),J479,IF(AND(L480="Vermögend und ambulant",D485&gt;8,D485&lt;=1000),130,IF(AND(L480="Vermögend und ambulant",D485&gt;4,D485&lt;=8),158,IF(AND(L480="Vermögend und ambulant",D485&gt;2,D485&lt;=4),192,IF(AND(L480="Vermögend und ambulant",D485&gt;1,D485&lt;=2),208,IF(AND(L480="Vermögend und ambulant",D485&gt;0,D485&lt;=1),298,IF(AND(L480="Vermögend und stationär",D485&gt;8,D485&lt;=1000),78,IF(AND(L480="Vermögend und stationär",D485&gt;4,D485&lt;=8),91,IF(AND(L480="Vermögend und stationär",D485&gt;2,D485&lt;=4),140,IF(AND(L480="Vermögend und stationär",D485&gt;1,D485&lt;=2),158,IF(AND(L480="Vermögend und stationär",D485&gt;0,D485&lt;=1),200,IF(AND(L480="Mittellos und ambulant",D485&gt;8,D485&lt;=1000),105,IF(AND(L480="Mittellos und ambulant",D485&gt;4,D485&lt;=8),122,IF(AND(L480="Mittellos und ambulant",D485&gt;2,D485&lt;=4),151,IF(AND(L480="Mittellos und ambulant",D485&gt;1,D485&lt;=2),170,IF(AND(L480="Mittellos und ambulant",D485&gt;0,D485&lt;=1),208,IF(AND(L480="Mittellos und stationär",D485&gt;8,D485&lt;=1000),62,IF(AND(L480="Mittellos und stationär",D485&gt;4,D485&lt;=8),87,IF(AND(L480="Mittellos und stationär",D485&gt;2,D485&lt;=4),124,IF(AND(L480="Mittellos und stationär",D485&gt;1,D485&lt;=2),129,IF(AND(L480="Mittellos und stationär",D485&gt;0,D485&lt;=1),194,""))))))))))))))))))))),IF(M479="Stufe B",IF(AND(L480="Auswahl treffen",D485&gt;=0,D485&lt;=1000),J479,IF(AND(L480="Vermögend und ambulant",D485&gt;8,D485&lt;=1000),161,IF(AND(L480="Vermögend und ambulant",D485&gt;4,D485&lt;=8),196,IF(AND(L480="Vermögend und ambulant",D485&gt;2,D485&lt;=4),238,IF(AND(L480="Vermögend und ambulant",D485&gt;1,D485&lt;=2),258,IF(AND(L480="Vermögend und ambulant",D485&gt;0,D485&lt;=1),370,IF(AND(L480="Vermögend und stationär",D485&gt;8,D485&lt;=1000),96,IF(AND(L480="Vermögend und stationär",D485&gt;4,D485&lt;=8),113,IF(AND(L480="Vermögend und stationär",D485&gt;2,D485&lt;=4),174,IF(AND(L480="Vermögend und stationär",D485&gt;1,D485&lt;=2),196,IF(AND(L480="Vermögend und stationär",D485&gt;0,D485&lt;=1),249,IF(AND(L480="Mittellos und ambulant",D485&gt;8,D485&lt;=1000),130,IF(AND(L480="Mittellos und ambulant",D485&gt;4,D485&lt;=8),151,IF(AND(L480="Mittellos und ambulant",D485&gt;2,D485&lt;=4),188,IF(AND(L480="Mittellos und ambulant",D485&gt;1,D485&lt;=2),211,IF(AND(L480="Mittellos und ambulant",D485&gt;0,D485&lt;=1),258,IF(AND(L480="Mittellos und stationär",D485&gt;8,D485&lt;=1000),78,IF(AND(L480="Mittellos und stationär",D485&gt;4,D485&lt;=8),107,IF(AND(L480="Mittellos und stationär",D485&gt;2,D485&lt;=4),154,IF(AND(L480="Mittellos und stationär",D485&gt;1,D485&lt;=2),158,IF(AND(L480="Mittellos und stationär",D485&gt;0,D485&lt;=1),241,""))))))))))))))))))))),IF(M479="Stufe C",IF(AND(L480="Auswahl treffen",D485&gt;=0,D485&lt;=1000),J479,IF(AND(L480="Vermögend und ambulant",D485&gt;8,D485&lt;=1000),211,IF(AND(L480="Vermögend und ambulant",D485&gt;4,D485&lt;=8),257,IF(AND(L480="Vermögend und ambulant",D485&gt;2,D485&lt;=4),312,IF(AND(L480="Vermögend und ambulant",D485&gt;1,D485&lt;=2),339,IF(AND(L480="Vermögend und ambulant",D485&gt;0,D485&lt;=1),486,IF(AND(L480="Vermögend und stationär",D485&gt;8,D485&lt;=1000),127,IF(AND(L480="Vermögend und stationär",D485&gt;4,D485&lt;=8),149,IF(AND(L480="Vermögend und stationär",D485&gt;2,D485&lt;=4),229,IF(AND(L480="Vermögend und stationär",D485&gt;1,D485&lt;=2),257,IF(AND(L480="Vermögend und stationär",D485&gt;0,D485&lt;=1),327,IF(AND(L480="Mittellos und ambulant",D485&gt;8,D485&lt;=1000),171,IF(AND(L480="Mittellos und ambulant",D485&gt;4,D485&lt;=8),198,IF(AND(L480="Mittellos und ambulant",D485&gt;2,D485&lt;=4),246,IF(AND(L480="Mittellos und ambulant",D485&gt;1,D485&lt;=2),277,IF(AND(L480="Mittellos und ambulant",D485&gt;0,D485&lt;=1),339,IF(AND(L480="Mittellos und stationär",D485&gt;8,D485&lt;=1000),102,IF(AND(L480="Mittellos und stationär",D485&gt;4,D485&lt;=8),141,IF(AND(L480="Mittellos und stationär",D485&gt;2,D485&lt;=4),202,IF(AND(L480="Mittellos und stationär",D485&gt;1,D485&lt;=2),208,IF(AND(L480="Mittellos und stationär",D485&gt;0,D485&lt;=1),317,""))))))))))))))))))))),"")))*3+(J479*90)</f>
        <v>#NUM!</v>
      </c>
      <c r="M486" s="507" t="str">
        <f>CONCATENATE(K486, K485)</f>
        <v>+Inflat.-P</v>
      </c>
      <c r="N486" s="206"/>
      <c r="O486" s="207"/>
      <c r="P486" s="206" t="s">
        <v>118</v>
      </c>
      <c r="Q486" s="226"/>
      <c r="R486" s="189"/>
      <c r="S486" s="203"/>
      <c r="T486" s="203"/>
      <c r="U486" s="204"/>
      <c r="V486" s="192"/>
      <c r="W486" s="203"/>
      <c r="X486" s="203"/>
      <c r="Y486" s="204"/>
      <c r="Z486" s="192"/>
      <c r="AA486" s="209" t="s">
        <v>118</v>
      </c>
      <c r="AB486" s="209" t="s">
        <v>117</v>
      </c>
      <c r="AC486" s="204" t="s">
        <v>26</v>
      </c>
      <c r="AD486" s="192"/>
      <c r="AE486" s="203"/>
      <c r="AF486" s="203"/>
      <c r="AG486" s="204"/>
      <c r="AH486" s="193"/>
      <c r="AI486" s="203"/>
      <c r="AJ486" s="203"/>
      <c r="AK486" s="375"/>
      <c r="AL486" s="348" t="s">
        <v>150</v>
      </c>
      <c r="AM486" s="354"/>
      <c r="AN486" s="354"/>
      <c r="AO486" s="354">
        <f>IF(SUM(P480:P488)=SUM(AA480:AA488), 0, SUM(P480:P488)-SUM(AA480:AA488))</f>
        <v>0</v>
      </c>
      <c r="AP486" s="354"/>
      <c r="AQ486" s="350">
        <f>AM486+AN486+AO486+AP486</f>
        <v>0</v>
      </c>
      <c r="AR486" s="769"/>
      <c r="AS486" s="769"/>
      <c r="AT486" s="769"/>
      <c r="BM486" s="335"/>
    </row>
    <row r="487" spans="1:65" ht="22.25" customHeight="1">
      <c r="A487" s="181">
        <f t="shared" si="164"/>
        <v>45292</v>
      </c>
      <c r="B487" s="486"/>
      <c r="C487" s="489" t="s">
        <v>158</v>
      </c>
      <c r="D487" s="522" t="e">
        <f>D485+1</f>
        <v>#NUM!</v>
      </c>
      <c r="E487" s="211" t="e">
        <f>DATE(YEAR(E486),MONTH(E486),DAY(E486)+1)</f>
        <v>#NUM!</v>
      </c>
      <c r="F487" s="227" t="e">
        <f t="shared" si="172"/>
        <v>#NUM!</v>
      </c>
      <c r="G487" s="228" t="e">
        <f t="shared" si="173"/>
        <v>#NUM!</v>
      </c>
      <c r="H487" s="227" t="e">
        <f t="shared" si="174"/>
        <v>#NUM!</v>
      </c>
      <c r="I487" s="231">
        <f>IF(J486&lt;13,J486,"")</f>
        <v>3</v>
      </c>
      <c r="J487" s="230">
        <f>J488+3</f>
        <v>9</v>
      </c>
      <c r="K487" s="501" t="str">
        <f t="shared" si="168"/>
        <v/>
      </c>
      <c r="L487" s="471"/>
      <c r="M487" s="473" t="e">
        <f ca="1">SUM(J480-E488)&amp;" Tage"</f>
        <v>#NUM!</v>
      </c>
      <c r="N487" s="216"/>
      <c r="O487" s="188"/>
      <c r="P487" s="188"/>
      <c r="Q487" s="217"/>
      <c r="R487" s="189"/>
      <c r="S487" s="190"/>
      <c r="T487" s="190"/>
      <c r="U487" s="191"/>
      <c r="V487" s="192"/>
      <c r="W487" s="190"/>
      <c r="X487" s="190"/>
      <c r="Y487" s="191"/>
      <c r="Z487" s="192"/>
      <c r="AA487" s="190"/>
      <c r="AB487" s="190"/>
      <c r="AC487" s="191"/>
      <c r="AD487" s="192"/>
      <c r="AE487" s="190"/>
      <c r="AF487" s="190"/>
      <c r="AG487" s="191"/>
      <c r="AH487" s="193"/>
      <c r="AI487" s="190"/>
      <c r="AJ487" s="190"/>
      <c r="AK487" s="374"/>
      <c r="AL487" s="348"/>
      <c r="AM487" s="354"/>
      <c r="AN487" s="354"/>
      <c r="AO487" s="354"/>
      <c r="AP487" s="354"/>
      <c r="AQ487" s="350"/>
      <c r="AR487" s="769"/>
      <c r="AS487" s="769"/>
      <c r="AT487" s="769"/>
      <c r="BM487" s="335"/>
    </row>
    <row r="488" spans="1:65" ht="22.25" customHeight="1">
      <c r="A488" s="181">
        <f t="shared" si="164"/>
        <v>45292</v>
      </c>
      <c r="B488" s="485"/>
      <c r="C488" s="490"/>
      <c r="D488" s="521"/>
      <c r="E488" s="218" t="e">
        <f>DATE(YEAR(E487),MONTH(E487)+3,DAY(E487)-1)</f>
        <v>#NUM!</v>
      </c>
      <c r="F488" s="227" t="e">
        <f t="shared" si="172"/>
        <v>#NUM!</v>
      </c>
      <c r="G488" s="228" t="e">
        <f t="shared" si="173"/>
        <v>#NUM!</v>
      </c>
      <c r="H488" s="227" t="e">
        <f t="shared" si="174"/>
        <v>#NUM!</v>
      </c>
      <c r="I488" s="231">
        <f>IF(J485&lt;13,J485,"")</f>
        <v>0</v>
      </c>
      <c r="J488" s="230">
        <f>J486+3</f>
        <v>6</v>
      </c>
      <c r="K488" s="501" t="str">
        <f t="shared" si="168"/>
        <v>+Inflat.-P</v>
      </c>
      <c r="L488" s="508" t="e">
        <f>IF(M479="Stufe A",IF(AND(L480="Auswahl treffen",D487&gt;=0,D487&lt;=1000),J479,IF(AND(L480="Vermögend und ambulant",D487&gt;8,D487&lt;=1000),130,IF(AND(L480="Vermögend und ambulant",D487&gt;4,D487&lt;=8),158,IF(AND(L480="Vermögend und ambulant",D487&gt;2,D487&lt;=4),192,IF(AND(L480="Vermögend und ambulant",D487&gt;1,D487&lt;=2),208,IF(AND(L480="Vermögend und ambulant",D487&gt;0,D487&lt;=1),298,IF(AND(L480="Vermögend und stationär",D487&gt;8,D487&lt;=1000),78,IF(AND(L480="Vermögend und stationär",D487&gt;4,D487&lt;=8),91,IF(AND(L480="Vermögend und stationär",D487&gt;2,D487&lt;=4),140,IF(AND(L480="Vermögend und stationär",D487&gt;1,D487&lt;=2),158,IF(AND(L480="Vermögend und stationär",D487&gt;0,D487&lt;=1),200,IF(AND(L480="Mittellos und ambulant",D487&gt;8,D487&lt;=1000),105,IF(AND(L480="Mittellos und ambulant",D487&gt;4,D487&lt;=8),122,IF(AND(L480="Mittellos und ambulant",D487&gt;2,D487&lt;=4),151,IF(AND(L480="Mittellos und ambulant",D487&gt;1,D487&lt;=2),170,IF(AND(L480="Mittellos und ambulant",D487&gt;0,D487&lt;=1),208,IF(AND(L480="Mittellos und stationär",D487&gt;8,D487&lt;=1000),62,IF(AND(L480="Mittellos und stationär",D487&gt;4,D487&lt;=8),87,IF(AND(L480="Mittellos und stationär",D487&gt;2,D487&lt;=4),124,IF(AND(L480="Mittellos und stationär",D487&gt;1,D487&lt;=2),129,IF(AND(L480="Mittellos und stationär",D487&gt;0,D487&lt;=1),194,""))))))))))))))))))))),IF(M479="Stufe B",IF(AND(L480="Auswahl treffen",D487&gt;=0,D487&lt;=1000),J479,IF(AND(L480="Vermögend und ambulant",D487&gt;8,D487&lt;=1000),161,IF(AND(L480="Vermögend und ambulant",D487&gt;4,D487&lt;=8),196,IF(AND(L480="Vermögend und ambulant",D487&gt;2,D487&lt;=4),238,IF(AND(L480="Vermögend und ambulant",D487&gt;1,D487&lt;=2),258,IF(AND(L480="Vermögend und ambulant",D487&gt;0,D487&lt;=1),370,IF(AND(L480="Vermögend und stationär",D487&gt;8,D487&lt;=1000),96,IF(AND(L480="Vermögend und stationär",D487&gt;4,D487&lt;=8),113,IF(AND(L480="Vermögend und stationär",D487&gt;2,D487&lt;=4),174,IF(AND(L480="Vermögend und stationär",D487&gt;1,D487&lt;=2),196,IF(AND(L480="Vermögend und stationär",D487&gt;0,D487&lt;=1),249,IF(AND(L480="Mittellos und ambulant",D487&gt;8,D487&lt;=1000),130,IF(AND(L480="Mittellos und ambulant",D487&gt;4,D487&lt;=8),151,IF(AND(L480="Mittellos und ambulant",D487&gt;2,D487&lt;=4),188,IF(AND(L480="Mittellos und ambulant",D487&gt;1,D487&lt;=2),211,IF(AND(L480="Mittellos und ambulant",D487&gt;0,D487&lt;=1),258,IF(AND(L480="Mittellos und stationär",D487&gt;8,D487&lt;=1000),78,IF(AND(L480="Mittellos und stationär",D487&gt;4,D487&lt;=8),107,IF(AND(L480="Mittellos und stationär",D487&gt;2,D487&lt;=4),154,IF(AND(L480="Mittellos und stationär",D487&gt;1,D487&lt;=2),158,IF(AND(L480="Mittellos und stationär",D487&gt;0,D487&lt;=1),241,""))))))))))))))))))))),IF(M479="Stufe C",IF(AND(L480="Auswahl treffen",D487&gt;=0,D487&lt;=1000),J479,IF(AND(L480="Vermögend und ambulant",D487&gt;8,D487&lt;=1000),211,IF(AND(L480="Vermögend und ambulant",D487&gt;4,D487&lt;=8),257,IF(AND(L480="Vermögend und ambulant",D487&gt;2,D487&lt;=4),312,IF(AND(L480="Vermögend und ambulant",D487&gt;1,D487&lt;=2),339,IF(AND(L480="Vermögend und ambulant",D487&gt;0,D487&lt;=1),486,IF(AND(L480="Vermögend und stationär",D487&gt;8,D487&lt;=1000),127,IF(AND(L480="Vermögend und stationär",D487&gt;4,D487&lt;=8),149,IF(AND(L480="Vermögend und stationär",D487&gt;2,D487&lt;=4),229,IF(AND(L480="Vermögend und stationär",D487&gt;1,D487&lt;=2),257,IF(AND(L480="Vermögend und stationär",D487&gt;0,D487&lt;=1),327,IF(AND(L480="Mittellos und ambulant",D487&gt;8,D487&lt;=1000),171,IF(AND(L480="Mittellos und ambulant",D487&gt;4,D487&lt;=8),198,IF(AND(L480="Mittellos und ambulant",D487&gt;2,D487&lt;=4),246,IF(AND(L480="Mittellos und ambulant",D487&gt;1,D487&lt;=2),277,IF(AND(L480="Mittellos und ambulant",D487&gt;0,D487&lt;=1),339,IF(AND(L480="Mittellos und stationär",D487&gt;8,D487&lt;=1000),102,IF(AND(L480="Mittellos und stationär",D487&gt;4,D487&lt;=8),141,IF(AND(L480="Mittellos und stationär",D487&gt;2,D487&lt;=4),202,IF(AND(L480="Mittellos und stationär",D487&gt;1,D487&lt;=2),208,IF(AND(L480="Mittellos und stationär",D487&gt;0,D487&lt;=1),317,""))))))))))))))))))))),"")))*3+(J479*90)</f>
        <v>#NUM!</v>
      </c>
      <c r="M488" s="507" t="str">
        <f>CONCATENATE(K488, K487)</f>
        <v>+Inflat.-P</v>
      </c>
      <c r="N488" s="216"/>
      <c r="O488" s="188"/>
      <c r="P488" s="188"/>
      <c r="Q488" s="217" t="s">
        <v>118</v>
      </c>
      <c r="R488" s="189"/>
      <c r="S488" s="190"/>
      <c r="T488" s="190"/>
      <c r="U488" s="191"/>
      <c r="V488" s="192"/>
      <c r="W488" s="190"/>
      <c r="X488" s="190"/>
      <c r="Y488" s="191"/>
      <c r="Z488" s="192"/>
      <c r="AA488" s="190"/>
      <c r="AB488" s="190"/>
      <c r="AC488" s="191"/>
      <c r="AD488" s="192"/>
      <c r="AE488" s="190" t="s">
        <v>118</v>
      </c>
      <c r="AF488" s="190" t="s">
        <v>117</v>
      </c>
      <c r="AG488" s="191" t="s">
        <v>26</v>
      </c>
      <c r="AH488" s="193"/>
      <c r="AI488" s="190" t="s">
        <v>118</v>
      </c>
      <c r="AJ488" s="190" t="s">
        <v>117</v>
      </c>
      <c r="AK488" s="374" t="s">
        <v>26</v>
      </c>
      <c r="AL488" s="348" t="s">
        <v>151</v>
      </c>
      <c r="AM488" s="354"/>
      <c r="AN488" s="354"/>
      <c r="AO488" s="354"/>
      <c r="AP488" s="354">
        <f>IF(SUM(Q480:Q488)=SUM(AE480:AE488,AI480:AI488), 0, SUM(Q480:Q488)-SUM(AE480:AE488,AI480:AI488))</f>
        <v>0</v>
      </c>
      <c r="AQ488" s="350">
        <f>AM488+AN488+AO488+AP488</f>
        <v>0</v>
      </c>
      <c r="AR488" s="769"/>
      <c r="AS488" s="769"/>
      <c r="AT488" s="769"/>
      <c r="BM488" s="335"/>
    </row>
    <row r="489" spans="1:65" ht="22" customHeight="1">
      <c r="A489" s="181">
        <f t="shared" si="164"/>
        <v>45292</v>
      </c>
      <c r="B489" s="232" t="s">
        <v>74</v>
      </c>
      <c r="C489" s="233" t="s">
        <v>75</v>
      </c>
      <c r="D489" s="234" t="s">
        <v>76</v>
      </c>
      <c r="E489" s="235" t="s">
        <v>11</v>
      </c>
      <c r="F489" s="235" t="s">
        <v>4</v>
      </c>
      <c r="G489" s="235" t="s">
        <v>5</v>
      </c>
      <c r="H489" s="235" t="s">
        <v>6</v>
      </c>
      <c r="I489" s="236" t="s">
        <v>77</v>
      </c>
      <c r="J489" s="306"/>
      <c r="K489" s="506" t="str">
        <f t="shared" si="168"/>
        <v/>
      </c>
      <c r="L489" s="306" t="str">
        <f>IFERROR(VLOOKUP(B490,'Aktuelle Einnahmen'!A2:J104,10,0),"")</f>
        <v/>
      </c>
      <c r="M489" s="510" t="str">
        <f>M479</f>
        <v>Stufe C</v>
      </c>
      <c r="N489" s="237"/>
      <c r="O489" s="238"/>
      <c r="P489" s="238"/>
      <c r="Q489" s="239"/>
      <c r="R489" s="240"/>
      <c r="S489" s="241"/>
      <c r="T489" s="241"/>
      <c r="U489" s="242"/>
      <c r="V489" s="243"/>
      <c r="W489" s="241"/>
      <c r="X489" s="241"/>
      <c r="Y489" s="242"/>
      <c r="Z489" s="243"/>
      <c r="AA489" s="241"/>
      <c r="AB489" s="241"/>
      <c r="AC489" s="242"/>
      <c r="AD489" s="243"/>
      <c r="AE489" s="241"/>
      <c r="AF489" s="241"/>
      <c r="AG489" s="242"/>
      <c r="AH489" s="240"/>
      <c r="AI489" s="241"/>
      <c r="AJ489" s="241"/>
      <c r="AK489" s="377"/>
      <c r="AL489" s="347"/>
      <c r="AM489" s="353"/>
      <c r="AN489" s="353"/>
      <c r="AO489" s="353"/>
      <c r="AP489" s="353"/>
      <c r="AQ489" s="349"/>
      <c r="AR489" s="768"/>
      <c r="AS489" s="768"/>
      <c r="AT489" s="768"/>
      <c r="BM489" s="335"/>
    </row>
    <row r="490" spans="1:65" ht="23" customHeight="1">
      <c r="A490" s="181">
        <f t="shared" si="164"/>
        <v>45292</v>
      </c>
      <c r="B490" s="182">
        <v>49</v>
      </c>
      <c r="C490" s="245">
        <f>IFERROR(VLOOKUP($B490,'Aktuelle Einnahmen'!A2:G104,3,0),"")</f>
        <v>0</v>
      </c>
      <c r="D490" s="246">
        <f>IFERROR(VLOOKUP($B490,'Aktuelle Einnahmen'!A2:G104,2,0),"")</f>
        <v>0</v>
      </c>
      <c r="E490" s="247">
        <f>IFERROR(VLOOKUP($B490,'Aktuelle Einnahmen'!A2:G104,4,0),"")</f>
        <v>0</v>
      </c>
      <c r="F490" s="94">
        <f>IFERROR(VLOOKUP($B490,'Aktuelle Einnahmen'!A2:G104,5,0),"")</f>
        <v>0</v>
      </c>
      <c r="G490" s="94">
        <f>IFERROR(VLOOKUP($B490,'Aktuelle Einnahmen'!A2:G104,6,0),"")</f>
        <v>0</v>
      </c>
      <c r="H490" s="94">
        <f>IFERROR(VLOOKUP($B490,'Aktuelle Einnahmen'!A2:G104,7,0),"")</f>
        <v>0</v>
      </c>
      <c r="I490" s="186" t="e">
        <f>DATE(H490,G490,F490)</f>
        <v>#NUM!</v>
      </c>
      <c r="J490" s="472">
        <f ca="1">J480</f>
        <v>45475</v>
      </c>
      <c r="K490" s="501" t="str">
        <f t="shared" si="168"/>
        <v>+Inflat.-P</v>
      </c>
      <c r="L490" s="1262" t="str">
        <f>IFERROR(VLOOKUP(B490,'Aktuelle Einnahmen'!A12:I114,9,0),"")</f>
        <v>Auswahl treffen</v>
      </c>
      <c r="M490" s="1263"/>
      <c r="N490" s="261"/>
      <c r="O490" s="261"/>
      <c r="P490" s="261"/>
      <c r="Q490" s="261"/>
      <c r="R490" s="189"/>
      <c r="S490" s="190"/>
      <c r="T490" s="190"/>
      <c r="U490" s="191"/>
      <c r="V490" s="192"/>
      <c r="W490" s="190"/>
      <c r="X490" s="190"/>
      <c r="Y490" s="191"/>
      <c r="Z490" s="192"/>
      <c r="AA490" s="190"/>
      <c r="AB490" s="190"/>
      <c r="AC490" s="191"/>
      <c r="AD490" s="192"/>
      <c r="AE490" s="190"/>
      <c r="AF490" s="190"/>
      <c r="AG490" s="191"/>
      <c r="AH490" s="193"/>
      <c r="AI490" s="190"/>
      <c r="AJ490" s="190"/>
      <c r="AK490" s="374"/>
      <c r="AL490" s="348"/>
      <c r="AM490" s="354"/>
      <c r="AN490" s="354"/>
      <c r="AO490" s="354"/>
      <c r="AP490" s="354"/>
      <c r="AQ490" s="350"/>
      <c r="AR490" s="769"/>
      <c r="AS490" s="769"/>
      <c r="AT490" s="769"/>
      <c r="BM490" s="335"/>
    </row>
    <row r="491" spans="1:65" ht="22.25" customHeight="1">
      <c r="A491" s="181">
        <f t="shared" si="164"/>
        <v>45292</v>
      </c>
      <c r="B491" s="484" t="e">
        <f>DAY(I490)</f>
        <v>#NUM!</v>
      </c>
      <c r="C491" s="489" t="s">
        <v>158</v>
      </c>
      <c r="D491" s="520" t="e">
        <f>(I491*4)+J491/3+1</f>
        <v>#NUM!</v>
      </c>
      <c r="E491" s="194" t="e">
        <f>J493+1</f>
        <v>#NUM!</v>
      </c>
      <c r="F491" s="195" t="e">
        <f t="shared" ref="F491:F498" si="175">DAY(E491)</f>
        <v>#NUM!</v>
      </c>
      <c r="G491" s="196" t="e">
        <f t="shared" ref="G491:G498" si="176">MONTH(E491)</f>
        <v>#NUM!</v>
      </c>
      <c r="H491" s="195" t="e">
        <f t="shared" ref="H491:H498" si="177">YEAR(E491)</f>
        <v>#NUM!</v>
      </c>
      <c r="I491" s="197" t="e">
        <f>H491-(H490+2000)</f>
        <v>#NUM!</v>
      </c>
      <c r="J491" s="198" t="e">
        <f>G491-G490</f>
        <v>#NUM!</v>
      </c>
      <c r="K491" s="506" t="str">
        <f>L489</f>
        <v/>
      </c>
      <c r="L491" s="469"/>
      <c r="M491" s="473" t="e">
        <f ca="1">SUM(J490-E492)&amp;" Tage"</f>
        <v>#NUM!</v>
      </c>
      <c r="N491" s="206"/>
      <c r="O491" s="201"/>
      <c r="P491" s="201"/>
      <c r="Q491" s="202"/>
      <c r="R491" s="189"/>
      <c r="S491" s="203"/>
      <c r="T491" s="203"/>
      <c r="U491" s="204"/>
      <c r="V491" s="192"/>
      <c r="W491" s="203"/>
      <c r="X491" s="203"/>
      <c r="Y491" s="204"/>
      <c r="Z491" s="192"/>
      <c r="AA491" s="203"/>
      <c r="AB491" s="203"/>
      <c r="AC491" s="204"/>
      <c r="AD491" s="192"/>
      <c r="AE491" s="203"/>
      <c r="AF491" s="203"/>
      <c r="AG491" s="204"/>
      <c r="AH491" s="193"/>
      <c r="AI491" s="203"/>
      <c r="AJ491" s="203"/>
      <c r="AK491" s="375"/>
      <c r="AL491" s="348"/>
      <c r="AM491" s="354"/>
      <c r="AN491" s="354"/>
      <c r="AO491" s="354"/>
      <c r="AP491" s="354"/>
      <c r="AQ491" s="350"/>
      <c r="AR491" s="769"/>
      <c r="AS491" s="769"/>
      <c r="AT491" s="769"/>
      <c r="BM491" s="335"/>
    </row>
    <row r="492" spans="1:65" ht="22.25" customHeight="1">
      <c r="A492" s="181">
        <f t="shared" si="164"/>
        <v>45292</v>
      </c>
      <c r="B492" s="485"/>
      <c r="C492" s="490"/>
      <c r="D492" s="521"/>
      <c r="E492" s="194" t="e">
        <f>DATE(YEAR(E491),MONTH(E491)+3,DAY(E491)-1)</f>
        <v>#NUM!</v>
      </c>
      <c r="F492" s="195" t="e">
        <f t="shared" si="175"/>
        <v>#NUM!</v>
      </c>
      <c r="G492" s="196" t="e">
        <f t="shared" si="176"/>
        <v>#NUM!</v>
      </c>
      <c r="H492" s="195" t="e">
        <f t="shared" si="177"/>
        <v>#NUM!</v>
      </c>
      <c r="I492" s="244">
        <v>-1</v>
      </c>
      <c r="J492" s="198" t="e">
        <f>F491-F490</f>
        <v>#NUM!</v>
      </c>
      <c r="K492" s="501" t="str">
        <f t="shared" si="168"/>
        <v>+Inflat.-P</v>
      </c>
      <c r="L492" s="511" t="e">
        <f>IF(M489="Stufe A",IF(AND(L490="Auswahl treffen",D491&gt;=0,D491&lt;=1000),J489,IF(AND(L490="Vermögend und ambulant",D491&gt;8,D491&lt;=1000),130,IF(AND(L490="Vermögend und ambulant",D491&gt;4,D491&lt;=8),158,IF(AND(L490="Vermögend und ambulant",D491&gt;2,D491&lt;=4),192,IF(AND(L490="Vermögend und ambulant",D491&gt;1,D491&lt;=2),208,IF(AND(L490="Vermögend und ambulant",D491&gt;0,D491&lt;=1),298,IF(AND(L490="Vermögend und stationär",D491&gt;8,D491&lt;=1000),78,IF(AND(L490="Vermögend und stationär",D491&gt;4,D491&lt;=8),91,IF(AND(L490="Vermögend und stationär",D491&gt;2,D491&lt;=4),140,IF(AND(L490="Vermögend und stationär",D491&gt;1,D491&lt;=2),158,IF(AND(L490="Vermögend und stationär",D491&gt;0,D491&lt;=1),200,IF(AND(L490="Mittellos und ambulant",D491&gt;8,D491&lt;=1000),105,IF(AND(L490="Mittellos und ambulant",D491&gt;4,D491&lt;=8),122,IF(AND(L490="Mittellos und ambulant",D491&gt;2,D491&lt;=4),151,IF(AND(L490="Mittellos und ambulant",D491&gt;1,D491&lt;=2),170,IF(AND(L490="Mittellos und ambulant",D491&gt;0,D491&lt;=1),208,IF(AND(L490="Mittellos und stationär",D491&gt;8,D491&lt;=1000),62,IF(AND(L490="Mittellos und stationär",D491&gt;4,D491&lt;=8),87,IF(AND(L490="Mittellos und stationär",D491&gt;2,D491&lt;=4),124,IF(AND(L490="Mittellos und stationär",D491&gt;1,D491&lt;=2),129,IF(AND(L490="Mittellos und stationär",D491&gt;0,D491&lt;=1),194,""))))))))))))))))))))),IF(M489="Stufe B",IF(AND(L490="Auswahl treffen",D491&gt;=0,D491&lt;=1000),J489,IF(AND(L490="Vermögend und ambulant",D491&gt;8,D491&lt;=1000),161,IF(AND(L490="Vermögend und ambulant",D491&gt;4,D491&lt;=8),196,IF(AND(L490="Vermögend und ambulant",D491&gt;2,D491&lt;=4),238,IF(AND(L490="Vermögend und ambulant",D491&gt;1,D491&lt;=2),258,IF(AND(L490="Vermögend und ambulant",D491&gt;0,D491&lt;=1),370,IF(AND(L490="Vermögend und stationär",D491&gt;8,D491&lt;=1000),96,IF(AND(L490="Vermögend und stationär",D491&gt;4,D491&lt;=8),113,IF(AND(L490="Vermögend und stationär",D491&gt;2,D491&lt;=4),174,IF(AND(L490="Vermögend und stationär",D491&gt;1,D491&lt;=2),196,IF(AND(L490="Vermögend und stationär",D491&gt;0,D491&lt;=1),249,IF(AND(L490="Mittellos und ambulant",D491&gt;8,D491&lt;=1000),130,IF(AND(L490="Mittellos und ambulant",D491&gt;4,D491&lt;=8),151,IF(AND(L490="Mittellos und ambulant",D491&gt;2,D491&lt;=4),188,IF(AND(L490="Mittellos und ambulant",D491&gt;1,D491&lt;=2),211,IF(AND(L490="Mittellos und ambulant",D491&gt;0,D491&lt;=1),258,IF(AND(L490="Mittellos und stationär",D491&gt;8,D491&lt;=1000),78,IF(AND(L490="Mittellos und stationär",D491&gt;4,D491&lt;=8),107,IF(AND(L490="Mittellos und stationär",D491&gt;2,D491&lt;=4),154,IF(AND(L490="Mittellos und stationär",D491&gt;1,D491&lt;=2),158,IF(AND(L490="Mittellos und stationär",D491&gt;0,D491&lt;=1),241,""))))))))))))))))))))),IF(M489="Stufe C",IF(AND(L490="Auswahl treffen",D491&gt;=0,D491&lt;=1000),J489,IF(AND(L490="Vermögend und ambulant",D491&gt;8,D491&lt;=1000),211,IF(AND(L490="Vermögend und ambulant",D491&gt;4,D491&lt;=8),257,IF(AND(L490="Vermögend und ambulant",D491&gt;2,D491&lt;=4),312,IF(AND(L490="Vermögend und ambulant",D491&gt;1,D491&lt;=2),339,IF(AND(L490="Vermögend und ambulant",D491&gt;0,D491&lt;=1),486,IF(AND(L490="Vermögend und stationär",D491&gt;8,D491&lt;=1000),127,IF(AND(L490="Vermögend und stationär",D491&gt;4,D491&lt;=8),149,IF(AND(L490="Vermögend und stationär",D491&gt;2,D491&lt;=4),229,IF(AND(L490="Vermögend und stationär",D491&gt;1,D491&lt;=2),257,IF(AND(L490="Vermögend und stationär",D491&gt;0,D491&lt;=1),327,IF(AND(L490="Mittellos und ambulant",D491&gt;8,D491&lt;=1000),171,IF(AND(L490="Mittellos und ambulant",D491&gt;4,D491&lt;=8),198,IF(AND(L490="Mittellos und ambulant",D491&gt;2,D491&lt;=4),246,IF(AND(L490="Mittellos und ambulant",D491&gt;1,D491&lt;=2),277,IF(AND(L490="Mittellos und ambulant",D491&gt;0,D491&lt;=1),339,IF(AND(L490="Mittellos und stationär",D491&gt;8,D491&lt;=1000),102,IF(AND(L490="Mittellos und stationär",D491&gt;4,D491&lt;=8),141,IF(AND(L490="Mittellos und stationär",D491&gt;2,D491&lt;=4),202,IF(AND(L490="Mittellos und stationär",D491&gt;1,D491&lt;=2),208,IF(AND(L490="Mittellos und stationär",D491&gt;0,D491&lt;=1),317,""))))))))))))))))))))),"")))*3+(J489*90)</f>
        <v>#NUM!</v>
      </c>
      <c r="M492" s="507" t="str">
        <f>CONCATENATE(K492, K491)</f>
        <v>+Inflat.-P</v>
      </c>
      <c r="N492" s="206" t="s">
        <v>118</v>
      </c>
      <c r="O492" s="207"/>
      <c r="P492" s="207"/>
      <c r="Q492" s="208"/>
      <c r="R492" s="187"/>
      <c r="S492" s="209" t="s">
        <v>118</v>
      </c>
      <c r="T492" s="201" t="s">
        <v>117</v>
      </c>
      <c r="U492" s="210" t="s">
        <v>26</v>
      </c>
      <c r="V492" s="192"/>
      <c r="W492" s="203"/>
      <c r="X492" s="203"/>
      <c r="Y492" s="210"/>
      <c r="Z492" s="192"/>
      <c r="AA492" s="203"/>
      <c r="AB492" s="203"/>
      <c r="AC492" s="210"/>
      <c r="AD492" s="192"/>
      <c r="AE492" s="203"/>
      <c r="AF492" s="203"/>
      <c r="AG492" s="210"/>
      <c r="AH492" s="193"/>
      <c r="AI492" s="203"/>
      <c r="AJ492" s="203"/>
      <c r="AK492" s="376"/>
      <c r="AL492" s="348" t="s">
        <v>148</v>
      </c>
      <c r="AM492" s="354">
        <f>IF(SUM(N490:N498)=SUM(S490:S498), 0, SUM(N490:N498)-SUM(S490:S498))</f>
        <v>0</v>
      </c>
      <c r="AN492" s="354"/>
      <c r="AO492" s="354"/>
      <c r="AP492" s="354"/>
      <c r="AQ492" s="350">
        <f>AM492+AN492+AO492+AP492</f>
        <v>0</v>
      </c>
      <c r="AR492" s="769"/>
      <c r="AS492" s="769"/>
      <c r="AT492" s="769"/>
      <c r="BM492" s="335"/>
    </row>
    <row r="493" spans="1:65" ht="22.25" customHeight="1">
      <c r="A493" s="181">
        <f t="shared" si="164"/>
        <v>45292</v>
      </c>
      <c r="B493" s="484" t="e">
        <f>MONTH(I490)</f>
        <v>#NUM!</v>
      </c>
      <c r="C493" s="489" t="s">
        <v>158</v>
      </c>
      <c r="D493" s="522" t="e">
        <f>D491+1</f>
        <v>#NUM!</v>
      </c>
      <c r="E493" s="211" t="e">
        <f>DATE(YEAR(E492),MONTH(E492),DAY(E492)+1)</f>
        <v>#NUM!</v>
      </c>
      <c r="F493" s="212" t="e">
        <f t="shared" si="175"/>
        <v>#NUM!</v>
      </c>
      <c r="G493" s="213" t="e">
        <f t="shared" si="176"/>
        <v>#NUM!</v>
      </c>
      <c r="H493" s="212" t="e">
        <f t="shared" si="177"/>
        <v>#NUM!</v>
      </c>
      <c r="I493" s="214" t="str">
        <f>IF(D490&lt;&gt;0,"-1T","")</f>
        <v/>
      </c>
      <c r="J493" s="215" t="e">
        <f>DATE($B495,I494,$B491)</f>
        <v>#NUM!</v>
      </c>
      <c r="K493" s="506" t="str">
        <f t="shared" si="168"/>
        <v/>
      </c>
      <c r="L493" s="470"/>
      <c r="M493" s="473" t="e">
        <f ca="1">SUM(J490-E494)&amp;" Tage"</f>
        <v>#NUM!</v>
      </c>
      <c r="N493" s="216"/>
      <c r="O493" s="217"/>
      <c r="P493" s="188"/>
      <c r="Q493" s="217"/>
      <c r="R493" s="189"/>
      <c r="S493" s="190"/>
      <c r="T493" s="190"/>
      <c r="U493" s="191"/>
      <c r="V493" s="192"/>
      <c r="W493" s="190"/>
      <c r="X493" s="190"/>
      <c r="Y493" s="191"/>
      <c r="Z493" s="192"/>
      <c r="AA493" s="190"/>
      <c r="AB493" s="190"/>
      <c r="AC493" s="191"/>
      <c r="AD493" s="192"/>
      <c r="AE493" s="190"/>
      <c r="AF493" s="190"/>
      <c r="AG493" s="191"/>
      <c r="AH493" s="193"/>
      <c r="AI493" s="190"/>
      <c r="AJ493" s="190"/>
      <c r="AK493" s="374"/>
      <c r="AL493" s="348"/>
      <c r="AM493" s="354"/>
      <c r="AN493" s="354"/>
      <c r="AO493" s="354"/>
      <c r="AP493" s="354"/>
      <c r="AQ493" s="350"/>
      <c r="AR493" s="769"/>
      <c r="AS493" s="769"/>
      <c r="AT493" s="769"/>
      <c r="BM493" s="335"/>
    </row>
    <row r="494" spans="1:65" ht="22.25" customHeight="1">
      <c r="A494" s="181">
        <f t="shared" si="164"/>
        <v>45292</v>
      </c>
      <c r="B494" s="485"/>
      <c r="C494" s="490"/>
      <c r="D494" s="521"/>
      <c r="E494" s="218" t="e">
        <f>DATE(YEAR(E493),MONTH(E493)+3,DAY(E493)-1)</f>
        <v>#NUM!</v>
      </c>
      <c r="F494" s="212" t="e">
        <f t="shared" si="175"/>
        <v>#NUM!</v>
      </c>
      <c r="G494" s="213" t="e">
        <f t="shared" si="176"/>
        <v>#NUM!</v>
      </c>
      <c r="H494" s="212" t="e">
        <f t="shared" si="177"/>
        <v>#NUM!</v>
      </c>
      <c r="I494" s="219">
        <f>MAX(I495:I498)</f>
        <v>9</v>
      </c>
      <c r="J494" s="220" t="e">
        <f>DATE(YEAR(J493)+1,MONTH(J493),DAY(J493))</f>
        <v>#NUM!</v>
      </c>
      <c r="K494" s="501" t="str">
        <f t="shared" si="168"/>
        <v>+Inflat.-P</v>
      </c>
      <c r="L494" s="508" t="e">
        <f>IF(M489="Stufe A",IF(AND(L490="Auswahl treffen",D493&gt;=0,D493&lt;=1000),J489,IF(AND(L490="Vermögend und ambulant",D493&gt;8,D493&lt;=1000),130,IF(AND(L490="Vermögend und ambulant",D493&gt;4,D493&lt;=8),158,IF(AND(L490="Vermögend und ambulant",D493&gt;2,D493&lt;=4),192,IF(AND(L490="Vermögend und ambulant",D493&gt;1,D493&lt;=2),208,IF(AND(L490="Vermögend und ambulant",D493&gt;0,D493&lt;=1),298,IF(AND(L490="Vermögend und stationär",D493&gt;8,D493&lt;=1000),78,IF(AND(L490="Vermögend und stationär",D493&gt;4,D493&lt;=8),91,IF(AND(L490="Vermögend und stationär",D493&gt;2,D493&lt;=4),140,IF(AND(L490="Vermögend und stationär",D493&gt;1,D493&lt;=2),158,IF(AND(L490="Vermögend und stationär",D493&gt;0,D493&lt;=1),200,IF(AND(L490="Mittellos und ambulant",D493&gt;8,D493&lt;=1000),105,IF(AND(L490="Mittellos und ambulant",D493&gt;4,D493&lt;=8),122,IF(AND(L490="Mittellos und ambulant",D493&gt;2,D493&lt;=4),151,IF(AND(L490="Mittellos und ambulant",D493&gt;1,D493&lt;=2),170,IF(AND(L490="Mittellos und ambulant",D493&gt;0,D493&lt;=1),208,IF(AND(L490="Mittellos und stationär",D493&gt;8,D493&lt;=1000),62,IF(AND(L490="Mittellos und stationär",D493&gt;4,D493&lt;=8),87,IF(AND(L490="Mittellos und stationär",D493&gt;2,D493&lt;=4),124,IF(AND(L490="Mittellos und stationär",D493&gt;1,D493&lt;=2),129,IF(AND(L490="Mittellos und stationär",D493&gt;0,D493&lt;=1),194,""))))))))))))))))))))),IF(M489="Stufe B",IF(AND(L490="Auswahl treffen",D493&gt;=0,D493&lt;=1000),J489,IF(AND(L490="Vermögend und ambulant",D493&gt;8,D493&lt;=1000),161,IF(AND(L490="Vermögend und ambulant",D493&gt;4,D493&lt;=8),196,IF(AND(L490="Vermögend und ambulant",D493&gt;2,D493&lt;=4),238,IF(AND(L490="Vermögend und ambulant",D493&gt;1,D493&lt;=2),258,IF(AND(L490="Vermögend und ambulant",D493&gt;0,D493&lt;=1),370,IF(AND(L490="Vermögend und stationär",D493&gt;8,D493&lt;=1000),96,IF(AND(L490="Vermögend und stationär",D493&gt;4,D493&lt;=8),113,IF(AND(L490="Vermögend und stationär",D493&gt;2,D493&lt;=4),174,IF(AND(L490="Vermögend und stationär",D493&gt;1,D493&lt;=2),196,IF(AND(L490="Vermögend und stationär",D493&gt;0,D493&lt;=1),249,IF(AND(L490="Mittellos und ambulant",D493&gt;8,D493&lt;=1000),130,IF(AND(L490="Mittellos und ambulant",D493&gt;4,D493&lt;=8),151,IF(AND(L490="Mittellos und ambulant",D493&gt;2,D493&lt;=4),188,IF(AND(L490="Mittellos und ambulant",D493&gt;1,D493&lt;=2),211,IF(AND(L490="Mittellos und ambulant",D493&gt;0,D493&lt;=1),258,IF(AND(L490="Mittellos und stationär",D493&gt;8,D493&lt;=1000),78,IF(AND(L490="Mittellos und stationär",D493&gt;4,D493&lt;=8),107,IF(AND(L490="Mittellos und stationär",D493&gt;2,D493&lt;=4),154,IF(AND(L490="Mittellos und stationär",D493&gt;1,D493&lt;=2),158,IF(AND(L490="Mittellos und stationär",D493&gt;0,D493&lt;=1),241,""))))))))))))))))))))),IF(M489="Stufe C",IF(AND(L490="Auswahl treffen",D493&gt;=0,D493&lt;=1000),J489,IF(AND(L490="Vermögend und ambulant",D493&gt;8,D493&lt;=1000),211,IF(AND(L490="Vermögend und ambulant",D493&gt;4,D493&lt;=8),257,IF(AND(L490="Vermögend und ambulant",D493&gt;2,D493&lt;=4),312,IF(AND(L490="Vermögend und ambulant",D493&gt;1,D493&lt;=2),339,IF(AND(L490="Vermögend und ambulant",D493&gt;0,D493&lt;=1),486,IF(AND(L490="Vermögend und stationär",D493&gt;8,D493&lt;=1000),127,IF(AND(L490="Vermögend und stationär",D493&gt;4,D493&lt;=8),149,IF(AND(L490="Vermögend und stationär",D493&gt;2,D493&lt;=4),229,IF(AND(L490="Vermögend und stationär",D493&gt;1,D493&lt;=2),257,IF(AND(L490="Vermögend und stationär",D493&gt;0,D493&lt;=1),327,IF(AND(L490="Mittellos und ambulant",D493&gt;8,D493&lt;=1000),171,IF(AND(L490="Mittellos und ambulant",D493&gt;4,D493&lt;=8),198,IF(AND(L490="Mittellos und ambulant",D493&gt;2,D493&lt;=4),246,IF(AND(L490="Mittellos und ambulant",D493&gt;1,D493&lt;=2),277,IF(AND(L490="Mittellos und ambulant",D493&gt;0,D493&lt;=1),339,IF(AND(L490="Mittellos und stationär",D493&gt;8,D493&lt;=1000),102,IF(AND(L490="Mittellos und stationär",D493&gt;4,D493&lt;=8),141,IF(AND(L490="Mittellos und stationär",D493&gt;2,D493&lt;=4),202,IF(AND(L490="Mittellos und stationär",D493&gt;1,D493&lt;=2),208,IF(AND(L490="Mittellos und stationär",D493&gt;0,D493&lt;=1),317,""))))))))))))))))))))),"")))*3+(J489*90)</f>
        <v>#NUM!</v>
      </c>
      <c r="M494" s="507" t="str">
        <f>CONCATENATE(K494, K493)</f>
        <v>+Inflat.-P</v>
      </c>
      <c r="N494" s="216"/>
      <c r="O494" s="188" t="s">
        <v>118</v>
      </c>
      <c r="P494" s="188"/>
      <c r="Q494" s="221"/>
      <c r="R494" s="199"/>
      <c r="S494" s="190"/>
      <c r="T494" s="190"/>
      <c r="U494" s="191"/>
      <c r="V494" s="192"/>
      <c r="W494" s="222" t="s">
        <v>118</v>
      </c>
      <c r="X494" s="222" t="s">
        <v>117</v>
      </c>
      <c r="Y494" s="191" t="s">
        <v>26</v>
      </c>
      <c r="Z494" s="192"/>
      <c r="AA494" s="190"/>
      <c r="AB494" s="190"/>
      <c r="AC494" s="191"/>
      <c r="AD494" s="192"/>
      <c r="AE494" s="190"/>
      <c r="AF494" s="190"/>
      <c r="AG494" s="191"/>
      <c r="AH494" s="193"/>
      <c r="AI494" s="190"/>
      <c r="AJ494" s="190"/>
      <c r="AK494" s="374"/>
      <c r="AL494" s="348" t="s">
        <v>149</v>
      </c>
      <c r="AM494" s="354"/>
      <c r="AN494" s="354">
        <f>IF(SUM(O490:O498)=SUM(W490:W498), 0, SUM(O490:O498)-SUM(W490:W498))</f>
        <v>0</v>
      </c>
      <c r="AO494" s="354"/>
      <c r="AP494" s="354"/>
      <c r="AQ494" s="350">
        <f>AM494+AN494+AO494+AP494</f>
        <v>0</v>
      </c>
      <c r="AR494" s="769"/>
      <c r="AS494" s="769"/>
      <c r="AT494" s="769"/>
      <c r="BM494" s="335"/>
    </row>
    <row r="495" spans="1:65" ht="22.25" customHeight="1">
      <c r="A495" s="181">
        <f t="shared" si="164"/>
        <v>45292</v>
      </c>
      <c r="B495" s="484">
        <f>YEAR($A496)-1</f>
        <v>2023</v>
      </c>
      <c r="C495" s="489" t="s">
        <v>158</v>
      </c>
      <c r="D495" s="520" t="e">
        <f>D493+1</f>
        <v>#NUM!</v>
      </c>
      <c r="E495" s="194" t="e">
        <f>DATE(YEAR(E494),MONTH(E494),DAY(E494)+1)</f>
        <v>#NUM!</v>
      </c>
      <c r="F495" s="195" t="e">
        <f t="shared" si="175"/>
        <v>#NUM!</v>
      </c>
      <c r="G495" s="196" t="e">
        <f t="shared" si="176"/>
        <v>#NUM!</v>
      </c>
      <c r="H495" s="195" t="e">
        <f t="shared" si="177"/>
        <v>#NUM!</v>
      </c>
      <c r="I495" s="197">
        <f>IF(J497&lt;13,J497,"")</f>
        <v>9</v>
      </c>
      <c r="J495" s="224">
        <f>G490</f>
        <v>0</v>
      </c>
      <c r="K495" s="501" t="str">
        <f t="shared" si="168"/>
        <v/>
      </c>
      <c r="L495" s="471"/>
      <c r="M495" s="473" t="e">
        <f ca="1">SUM(J490-E496)&amp;" Tage"</f>
        <v>#NUM!</v>
      </c>
      <c r="N495" s="200"/>
      <c r="O495" s="201"/>
      <c r="P495" s="201"/>
      <c r="Q495" s="202"/>
      <c r="R495" s="189"/>
      <c r="S495" s="203"/>
      <c r="T495" s="203"/>
      <c r="U495" s="204"/>
      <c r="V495" s="192"/>
      <c r="W495" s="203"/>
      <c r="X495" s="203"/>
      <c r="Y495" s="204"/>
      <c r="Z495" s="192"/>
      <c r="AA495" s="203"/>
      <c r="AB495" s="203"/>
      <c r="AC495" s="204"/>
      <c r="AD495" s="192"/>
      <c r="AE495" s="203"/>
      <c r="AF495" s="203"/>
      <c r="AG495" s="204"/>
      <c r="AH495" s="193"/>
      <c r="AI495" s="203"/>
      <c r="AJ495" s="203"/>
      <c r="AK495" s="375"/>
      <c r="AL495" s="348"/>
      <c r="AM495" s="354"/>
      <c r="AN495" s="354"/>
      <c r="AO495" s="354"/>
      <c r="AP495" s="354"/>
      <c r="AQ495" s="350"/>
      <c r="AR495" s="769"/>
      <c r="AS495" s="769"/>
      <c r="AT495" s="769"/>
      <c r="BM495" s="335"/>
    </row>
    <row r="496" spans="1:65" ht="22.25" customHeight="1">
      <c r="A496" s="181">
        <f t="shared" si="164"/>
        <v>45292</v>
      </c>
      <c r="B496" s="485"/>
      <c r="C496" s="490"/>
      <c r="D496" s="521"/>
      <c r="E496" s="194" t="e">
        <f>DATE(YEAR(E495),MONTH(E495)+3,DAY(E495)-1)</f>
        <v>#NUM!</v>
      </c>
      <c r="F496" s="195" t="e">
        <f t="shared" si="175"/>
        <v>#NUM!</v>
      </c>
      <c r="G496" s="196" t="e">
        <f t="shared" si="176"/>
        <v>#NUM!</v>
      </c>
      <c r="H496" s="195" t="e">
        <f t="shared" si="177"/>
        <v>#NUM!</v>
      </c>
      <c r="I496" s="244">
        <f>IF(J498&lt;13,J498,"")</f>
        <v>6</v>
      </c>
      <c r="J496" s="224">
        <f>J495+3</f>
        <v>3</v>
      </c>
      <c r="K496" s="506" t="str">
        <f t="shared" si="168"/>
        <v>+Inflat.-P</v>
      </c>
      <c r="L496" s="511" t="e">
        <f>IF(M489="Stufe A",IF(AND(L490="Auswahl treffen",D495&gt;=0,D495&lt;=1000),J489,IF(AND(L490="Vermögend und ambulant",D495&gt;8,D495&lt;=1000),130,IF(AND(L490="Vermögend und ambulant",D495&gt;4,D495&lt;=8),158,IF(AND(L490="Vermögend und ambulant",D495&gt;2,D495&lt;=4),192,IF(AND(L490="Vermögend und ambulant",D495&gt;1,D495&lt;=2),208,IF(AND(L490="Vermögend und ambulant",D495&gt;0,D495&lt;=1),298,IF(AND(L490="Vermögend und stationär",D495&gt;8,D495&lt;=1000),78,IF(AND(L490="Vermögend und stationär",D495&gt;4,D495&lt;=8),91,IF(AND(L490="Vermögend und stationär",D495&gt;2,D495&lt;=4),140,IF(AND(L490="Vermögend und stationär",D495&gt;1,D495&lt;=2),158,IF(AND(L490="Vermögend und stationär",D495&gt;0,D495&lt;=1),200,IF(AND(L490="Mittellos und ambulant",D495&gt;8,D495&lt;=1000),105,IF(AND(L490="Mittellos und ambulant",D495&gt;4,D495&lt;=8),122,IF(AND(L490="Mittellos und ambulant",D495&gt;2,D495&lt;=4),151,IF(AND(L490="Mittellos und ambulant",D495&gt;1,D495&lt;=2),170,IF(AND(L490="Mittellos und ambulant",D495&gt;0,D495&lt;=1),208,IF(AND(L490="Mittellos und stationär",D495&gt;8,D495&lt;=1000),62,IF(AND(L490="Mittellos und stationär",D495&gt;4,D495&lt;=8),87,IF(AND(L490="Mittellos und stationär",D495&gt;2,D495&lt;=4),124,IF(AND(L490="Mittellos und stationär",D495&gt;1,D495&lt;=2),129,IF(AND(L490="Mittellos und stationär",D495&gt;0,D495&lt;=1),194,""))))))))))))))))))))),IF(M489="Stufe B",IF(AND(L490="Auswahl treffen",D495&gt;=0,D495&lt;=1000),J489,IF(AND(L490="Vermögend und ambulant",D495&gt;8,D495&lt;=1000),161,IF(AND(L490="Vermögend und ambulant",D495&gt;4,D495&lt;=8),196,IF(AND(L490="Vermögend und ambulant",D495&gt;2,D495&lt;=4),238,IF(AND(L490="Vermögend und ambulant",D495&gt;1,D495&lt;=2),258,IF(AND(L490="Vermögend und ambulant",D495&gt;0,D495&lt;=1),370,IF(AND(L490="Vermögend und stationär",D495&gt;8,D495&lt;=1000),96,IF(AND(L490="Vermögend und stationär",D495&gt;4,D495&lt;=8),113,IF(AND(L490="Vermögend und stationär",D495&gt;2,D495&lt;=4),174,IF(AND(L490="Vermögend und stationär",D495&gt;1,D495&lt;=2),196,IF(AND(L490="Vermögend und stationär",D495&gt;0,D495&lt;=1),249,IF(AND(L490="Mittellos und ambulant",D495&gt;8,D495&lt;=1000),130,IF(AND(L490="Mittellos und ambulant",D495&gt;4,D495&lt;=8),151,IF(AND(L490="Mittellos und ambulant",D495&gt;2,D495&lt;=4),188,IF(AND(L490="Mittellos und ambulant",D495&gt;1,D495&lt;=2),211,IF(AND(L490="Mittellos und ambulant",D495&gt;0,D495&lt;=1),258,IF(AND(L490="Mittellos und stationär",D495&gt;8,D495&lt;=1000),78,IF(AND(L490="Mittellos und stationär",D495&gt;4,D495&lt;=8),107,IF(AND(L490="Mittellos und stationär",D495&gt;2,D495&lt;=4),154,IF(AND(L490="Mittellos und stationär",D495&gt;1,D495&lt;=2),158,IF(AND(L490="Mittellos und stationär",D495&gt;0,D495&lt;=1),241,""))))))))))))))))))))),IF(M489="Stufe C",IF(AND(L490="Auswahl treffen",D495&gt;=0,D495&lt;=1000),J489,IF(AND(L490="Vermögend und ambulant",D495&gt;8,D495&lt;=1000),211,IF(AND(L490="Vermögend und ambulant",D495&gt;4,D495&lt;=8),257,IF(AND(L490="Vermögend und ambulant",D495&gt;2,D495&lt;=4),312,IF(AND(L490="Vermögend und ambulant",D495&gt;1,D495&lt;=2),339,IF(AND(L490="Vermögend und ambulant",D495&gt;0,D495&lt;=1),486,IF(AND(L490="Vermögend und stationär",D495&gt;8,D495&lt;=1000),127,IF(AND(L490="Vermögend und stationär",D495&gt;4,D495&lt;=8),149,IF(AND(L490="Vermögend und stationär",D495&gt;2,D495&lt;=4),229,IF(AND(L490="Vermögend und stationär",D495&gt;1,D495&lt;=2),257,IF(AND(L490="Vermögend und stationär",D495&gt;0,D495&lt;=1),327,IF(AND(L490="Mittellos und ambulant",D495&gt;8,D495&lt;=1000),171,IF(AND(L490="Mittellos und ambulant",D495&gt;4,D495&lt;=8),198,IF(AND(L490="Mittellos und ambulant",D495&gt;2,D495&lt;=4),246,IF(AND(L490="Mittellos und ambulant",D495&gt;1,D495&lt;=2),277,IF(AND(L490="Mittellos und ambulant",D495&gt;0,D495&lt;=1),339,IF(AND(L490="Mittellos und stationär",D495&gt;8,D495&lt;=1000),102,IF(AND(L490="Mittellos und stationär",D495&gt;4,D495&lt;=8),141,IF(AND(L490="Mittellos und stationär",D495&gt;2,D495&lt;=4),202,IF(AND(L490="Mittellos und stationär",D495&gt;1,D495&lt;=2),208,IF(AND(L490="Mittellos und stationär",D495&gt;0,D495&lt;=1),317,""))))))))))))))))))))),"")))*3+(J489*90)</f>
        <v>#NUM!</v>
      </c>
      <c r="M496" s="507" t="str">
        <f>CONCATENATE(K496, K495)</f>
        <v>+Inflat.-P</v>
      </c>
      <c r="N496" s="206"/>
      <c r="O496" s="207"/>
      <c r="P496" s="206" t="s">
        <v>118</v>
      </c>
      <c r="Q496" s="226"/>
      <c r="R496" s="189"/>
      <c r="S496" s="203"/>
      <c r="T496" s="203"/>
      <c r="U496" s="204"/>
      <c r="V496" s="192"/>
      <c r="W496" s="203"/>
      <c r="X496" s="203"/>
      <c r="Y496" s="204"/>
      <c r="Z496" s="192"/>
      <c r="AA496" s="209" t="s">
        <v>118</v>
      </c>
      <c r="AB496" s="209" t="s">
        <v>117</v>
      </c>
      <c r="AC496" s="204" t="s">
        <v>26</v>
      </c>
      <c r="AD496" s="192"/>
      <c r="AE496" s="203"/>
      <c r="AF496" s="203"/>
      <c r="AG496" s="204"/>
      <c r="AH496" s="193"/>
      <c r="AI496" s="203"/>
      <c r="AJ496" s="203"/>
      <c r="AK496" s="375"/>
      <c r="AL496" s="348" t="s">
        <v>150</v>
      </c>
      <c r="AM496" s="354"/>
      <c r="AN496" s="354"/>
      <c r="AO496" s="354">
        <f>IF(SUM(P490:P498)=SUM(AA490:AA498), 0, SUM(P490:P498)-SUM(AA490:AA498))</f>
        <v>0</v>
      </c>
      <c r="AP496" s="354"/>
      <c r="AQ496" s="350">
        <f>AM496+AN496+AO496+AP496</f>
        <v>0</v>
      </c>
      <c r="AR496" s="769"/>
      <c r="AS496" s="769"/>
      <c r="AT496" s="769"/>
      <c r="BM496" s="335"/>
    </row>
    <row r="497" spans="1:65" ht="22.25" customHeight="1">
      <c r="A497" s="181">
        <f t="shared" si="164"/>
        <v>45292</v>
      </c>
      <c r="B497" s="486"/>
      <c r="C497" s="489" t="s">
        <v>158</v>
      </c>
      <c r="D497" s="522" t="e">
        <f>D495+1</f>
        <v>#NUM!</v>
      </c>
      <c r="E497" s="211" t="e">
        <f>DATE(YEAR(E496),MONTH(E496),DAY(E496)+1)</f>
        <v>#NUM!</v>
      </c>
      <c r="F497" s="227" t="e">
        <f t="shared" si="175"/>
        <v>#NUM!</v>
      </c>
      <c r="G497" s="228" t="e">
        <f t="shared" si="176"/>
        <v>#NUM!</v>
      </c>
      <c r="H497" s="227" t="e">
        <f t="shared" si="177"/>
        <v>#NUM!</v>
      </c>
      <c r="I497" s="231">
        <f>IF(J496&lt;13,J496,"")</f>
        <v>3</v>
      </c>
      <c r="J497" s="230">
        <f>J498+3</f>
        <v>9</v>
      </c>
      <c r="K497" s="501" t="str">
        <f t="shared" si="168"/>
        <v/>
      </c>
      <c r="L497" s="471"/>
      <c r="M497" s="473" t="e">
        <f ca="1">SUM(J490-E498)&amp;" Tage"</f>
        <v>#NUM!</v>
      </c>
      <c r="N497" s="216"/>
      <c r="O497" s="188"/>
      <c r="P497" s="188"/>
      <c r="Q497" s="217"/>
      <c r="R497" s="189"/>
      <c r="S497" s="190"/>
      <c r="T497" s="190"/>
      <c r="U497" s="191"/>
      <c r="V497" s="192"/>
      <c r="W497" s="190"/>
      <c r="X497" s="190"/>
      <c r="Y497" s="191"/>
      <c r="Z497" s="192"/>
      <c r="AA497" s="190"/>
      <c r="AB497" s="190"/>
      <c r="AC497" s="191"/>
      <c r="AD497" s="192"/>
      <c r="AE497" s="190"/>
      <c r="AF497" s="190"/>
      <c r="AG497" s="191"/>
      <c r="AH497" s="193"/>
      <c r="AI497" s="190"/>
      <c r="AJ497" s="190"/>
      <c r="AK497" s="374"/>
      <c r="AL497" s="348"/>
      <c r="AM497" s="354"/>
      <c r="AN497" s="354"/>
      <c r="AO497" s="354"/>
      <c r="AP497" s="354"/>
      <c r="AQ497" s="350"/>
      <c r="AR497" s="769"/>
      <c r="AS497" s="769"/>
      <c r="AT497" s="769"/>
      <c r="BM497" s="335"/>
    </row>
    <row r="498" spans="1:65" ht="22.25" customHeight="1">
      <c r="A498" s="181">
        <f t="shared" si="164"/>
        <v>45292</v>
      </c>
      <c r="B498" s="485"/>
      <c r="C498" s="490"/>
      <c r="D498" s="521"/>
      <c r="E498" s="218" t="e">
        <f>DATE(YEAR(E497),MONTH(E497)+3,DAY(E497)-1)</f>
        <v>#NUM!</v>
      </c>
      <c r="F498" s="227" t="e">
        <f t="shared" si="175"/>
        <v>#NUM!</v>
      </c>
      <c r="G498" s="228" t="e">
        <f t="shared" si="176"/>
        <v>#NUM!</v>
      </c>
      <c r="H498" s="227" t="e">
        <f t="shared" si="177"/>
        <v>#NUM!</v>
      </c>
      <c r="I498" s="231">
        <f>IF(J495&lt;13,J495,"")</f>
        <v>0</v>
      </c>
      <c r="J498" s="230">
        <f>J496+3</f>
        <v>6</v>
      </c>
      <c r="K498" s="506" t="str">
        <f t="shared" si="168"/>
        <v>+Inflat.-P</v>
      </c>
      <c r="L498" s="508" t="e">
        <f>IF(M489="Stufe A",IF(AND(L490="Auswahl treffen",D497&gt;=0,D497&lt;=1000),J489,IF(AND(L490="Vermögend und ambulant",D497&gt;8,D497&lt;=1000),130,IF(AND(L490="Vermögend und ambulant",D497&gt;4,D497&lt;=8),158,IF(AND(L490="Vermögend und ambulant",D497&gt;2,D497&lt;=4),192,IF(AND(L490="Vermögend und ambulant",D497&gt;1,D497&lt;=2),208,IF(AND(L490="Vermögend und ambulant",D497&gt;0,D497&lt;=1),298,IF(AND(L490="Vermögend und stationär",D497&gt;8,D497&lt;=1000),78,IF(AND(L490="Vermögend und stationär",D497&gt;4,D497&lt;=8),91,IF(AND(L490="Vermögend und stationär",D497&gt;2,D497&lt;=4),140,IF(AND(L490="Vermögend und stationär",D497&gt;1,D497&lt;=2),158,IF(AND(L490="Vermögend und stationär",D497&gt;0,D497&lt;=1),200,IF(AND(L490="Mittellos und ambulant",D497&gt;8,D497&lt;=1000),105,IF(AND(L490="Mittellos und ambulant",D497&gt;4,D497&lt;=8),122,IF(AND(L490="Mittellos und ambulant",D497&gt;2,D497&lt;=4),151,IF(AND(L490="Mittellos und ambulant",D497&gt;1,D497&lt;=2),170,IF(AND(L490="Mittellos und ambulant",D497&gt;0,D497&lt;=1),208,IF(AND(L490="Mittellos und stationär",D497&gt;8,D497&lt;=1000),62,IF(AND(L490="Mittellos und stationär",D497&gt;4,D497&lt;=8),87,IF(AND(L490="Mittellos und stationär",D497&gt;2,D497&lt;=4),124,IF(AND(L490="Mittellos und stationär",D497&gt;1,D497&lt;=2),129,IF(AND(L490="Mittellos und stationär",D497&gt;0,D497&lt;=1),194,""))))))))))))))))))))),IF(M489="Stufe B",IF(AND(L490="Auswahl treffen",D497&gt;=0,D497&lt;=1000),J489,IF(AND(L490="Vermögend und ambulant",D497&gt;8,D497&lt;=1000),161,IF(AND(L490="Vermögend und ambulant",D497&gt;4,D497&lt;=8),196,IF(AND(L490="Vermögend und ambulant",D497&gt;2,D497&lt;=4),238,IF(AND(L490="Vermögend und ambulant",D497&gt;1,D497&lt;=2),258,IF(AND(L490="Vermögend und ambulant",D497&gt;0,D497&lt;=1),370,IF(AND(L490="Vermögend und stationär",D497&gt;8,D497&lt;=1000),96,IF(AND(L490="Vermögend und stationär",D497&gt;4,D497&lt;=8),113,IF(AND(L490="Vermögend und stationär",D497&gt;2,D497&lt;=4),174,IF(AND(L490="Vermögend und stationär",D497&gt;1,D497&lt;=2),196,IF(AND(L490="Vermögend und stationär",D497&gt;0,D497&lt;=1),249,IF(AND(L490="Mittellos und ambulant",D497&gt;8,D497&lt;=1000),130,IF(AND(L490="Mittellos und ambulant",D497&gt;4,D497&lt;=8),151,IF(AND(L490="Mittellos und ambulant",D497&gt;2,D497&lt;=4),188,IF(AND(L490="Mittellos und ambulant",D497&gt;1,D497&lt;=2),211,IF(AND(L490="Mittellos und ambulant",D497&gt;0,D497&lt;=1),258,IF(AND(L490="Mittellos und stationär",D497&gt;8,D497&lt;=1000),78,IF(AND(L490="Mittellos und stationär",D497&gt;4,D497&lt;=8),107,IF(AND(L490="Mittellos und stationär",D497&gt;2,D497&lt;=4),154,IF(AND(L490="Mittellos und stationär",D497&gt;1,D497&lt;=2),158,IF(AND(L490="Mittellos und stationär",D497&gt;0,D497&lt;=1),241,""))))))))))))))))))))),IF(M489="Stufe C",IF(AND(L490="Auswahl treffen",D497&gt;=0,D497&lt;=1000),J489,IF(AND(L490="Vermögend und ambulant",D497&gt;8,D497&lt;=1000),211,IF(AND(L490="Vermögend und ambulant",D497&gt;4,D497&lt;=8),257,IF(AND(L490="Vermögend und ambulant",D497&gt;2,D497&lt;=4),312,IF(AND(L490="Vermögend und ambulant",D497&gt;1,D497&lt;=2),339,IF(AND(L490="Vermögend und ambulant",D497&gt;0,D497&lt;=1),486,IF(AND(L490="Vermögend und stationär",D497&gt;8,D497&lt;=1000),127,IF(AND(L490="Vermögend und stationär",D497&gt;4,D497&lt;=8),149,IF(AND(L490="Vermögend und stationär",D497&gt;2,D497&lt;=4),229,IF(AND(L490="Vermögend und stationär",D497&gt;1,D497&lt;=2),257,IF(AND(L490="Vermögend und stationär",D497&gt;0,D497&lt;=1),327,IF(AND(L490="Mittellos und ambulant",D497&gt;8,D497&lt;=1000),171,IF(AND(L490="Mittellos und ambulant",D497&gt;4,D497&lt;=8),198,IF(AND(L490="Mittellos und ambulant",D497&gt;2,D497&lt;=4),246,IF(AND(L490="Mittellos und ambulant",D497&gt;1,D497&lt;=2),277,IF(AND(L490="Mittellos und ambulant",D497&gt;0,D497&lt;=1),339,IF(AND(L490="Mittellos und stationär",D497&gt;8,D497&lt;=1000),102,IF(AND(L490="Mittellos und stationär",D497&gt;4,D497&lt;=8),141,IF(AND(L490="Mittellos und stationär",D497&gt;2,D497&lt;=4),202,IF(AND(L490="Mittellos und stationär",D497&gt;1,D497&lt;=2),208,IF(AND(L490="Mittellos und stationär",D497&gt;0,D497&lt;=1),317,""))))))))))))))))))))),"")))*3+(J489*90)</f>
        <v>#NUM!</v>
      </c>
      <c r="M498" s="507" t="str">
        <f>CONCATENATE(K498, K497)</f>
        <v>+Inflat.-P</v>
      </c>
      <c r="N498" s="216"/>
      <c r="O498" s="188"/>
      <c r="P498" s="188"/>
      <c r="Q498" s="217" t="s">
        <v>118</v>
      </c>
      <c r="R498" s="189"/>
      <c r="S498" s="190"/>
      <c r="T498" s="190"/>
      <c r="U498" s="191"/>
      <c r="V498" s="192"/>
      <c r="W498" s="190"/>
      <c r="X498" s="190"/>
      <c r="Y498" s="191"/>
      <c r="Z498" s="192"/>
      <c r="AA498" s="190"/>
      <c r="AB498" s="190"/>
      <c r="AC498" s="191"/>
      <c r="AD498" s="192"/>
      <c r="AE498" s="190" t="s">
        <v>118</v>
      </c>
      <c r="AF498" s="190" t="s">
        <v>117</v>
      </c>
      <c r="AG498" s="191" t="s">
        <v>26</v>
      </c>
      <c r="AH498" s="193"/>
      <c r="AI498" s="190" t="s">
        <v>118</v>
      </c>
      <c r="AJ498" s="190" t="s">
        <v>117</v>
      </c>
      <c r="AK498" s="374" t="s">
        <v>26</v>
      </c>
      <c r="AL498" s="348" t="s">
        <v>151</v>
      </c>
      <c r="AM498" s="354"/>
      <c r="AN498" s="354"/>
      <c r="AO498" s="354"/>
      <c r="AP498" s="354">
        <f>IF(SUM(Q490:Q498)=SUM(AE490:AE498,AI490:AI498), 0, SUM(Q490:Q498)-SUM(AE490:AE498,AI490:AI498))</f>
        <v>0</v>
      </c>
      <c r="AQ498" s="350">
        <f>AM498+AN498+AO498+AP498</f>
        <v>0</v>
      </c>
      <c r="AR498" s="769"/>
      <c r="AS498" s="769"/>
      <c r="AT498" s="769"/>
      <c r="BM498" s="335"/>
    </row>
    <row r="499" spans="1:65" ht="22" customHeight="1">
      <c r="A499" s="181">
        <f t="shared" si="164"/>
        <v>45292</v>
      </c>
      <c r="B499" s="232" t="s">
        <v>74</v>
      </c>
      <c r="C499" s="233" t="s">
        <v>75</v>
      </c>
      <c r="D499" s="234" t="s">
        <v>76</v>
      </c>
      <c r="E499" s="235" t="s">
        <v>11</v>
      </c>
      <c r="F499" s="235" t="s">
        <v>4</v>
      </c>
      <c r="G499" s="235" t="s">
        <v>5</v>
      </c>
      <c r="H499" s="235" t="s">
        <v>6</v>
      </c>
      <c r="I499" s="236" t="s">
        <v>77</v>
      </c>
      <c r="J499" s="306"/>
      <c r="K499" s="501" t="str">
        <f t="shared" si="168"/>
        <v/>
      </c>
      <c r="L499" s="306" t="str">
        <f>IFERROR(VLOOKUP(B500,'Aktuelle Einnahmen'!A2:J104,10,0),"")</f>
        <v/>
      </c>
      <c r="M499" s="510" t="str">
        <f>M489</f>
        <v>Stufe C</v>
      </c>
      <c r="N499" s="237"/>
      <c r="O499" s="238"/>
      <c r="P499" s="238"/>
      <c r="Q499" s="239"/>
      <c r="R499" s="240"/>
      <c r="S499" s="241"/>
      <c r="T499" s="241"/>
      <c r="U499" s="242"/>
      <c r="V499" s="243"/>
      <c r="W499" s="241"/>
      <c r="X499" s="241"/>
      <c r="Y499" s="242"/>
      <c r="Z499" s="243"/>
      <c r="AA499" s="241"/>
      <c r="AB499" s="241"/>
      <c r="AC499" s="242"/>
      <c r="AD499" s="243"/>
      <c r="AE499" s="241"/>
      <c r="AF499" s="241"/>
      <c r="AG499" s="242"/>
      <c r="AH499" s="240"/>
      <c r="AI499" s="241"/>
      <c r="AJ499" s="241"/>
      <c r="AK499" s="377"/>
      <c r="AL499" s="347"/>
      <c r="AM499" s="353"/>
      <c r="AN499" s="353"/>
      <c r="AO499" s="353"/>
      <c r="AP499" s="353"/>
      <c r="AQ499" s="349"/>
      <c r="AR499" s="768"/>
      <c r="AS499" s="768"/>
      <c r="AT499" s="768"/>
      <c r="BM499" s="335"/>
    </row>
    <row r="500" spans="1:65" ht="23" customHeight="1">
      <c r="A500" s="181">
        <f t="shared" si="164"/>
        <v>45292</v>
      </c>
      <c r="B500" s="182">
        <v>50</v>
      </c>
      <c r="C500" s="245">
        <f>IFERROR(VLOOKUP($B500,'Aktuelle Einnahmen'!A2:G104,3,0),"")</f>
        <v>0</v>
      </c>
      <c r="D500" s="246">
        <f>IFERROR(VLOOKUP($B500,'Aktuelle Einnahmen'!A2:G104,2,0),"")</f>
        <v>0</v>
      </c>
      <c r="E500" s="247">
        <f>IFERROR(VLOOKUP($B500,'Aktuelle Einnahmen'!A2:G104,4,0),"")</f>
        <v>0</v>
      </c>
      <c r="F500" s="94">
        <f>IFERROR(VLOOKUP($B500,'Aktuelle Einnahmen'!A2:G104,5,0),"")</f>
        <v>0</v>
      </c>
      <c r="G500" s="94">
        <f>IFERROR(VLOOKUP($B500,'Aktuelle Einnahmen'!A2:G104,6,0),"")</f>
        <v>0</v>
      </c>
      <c r="H500" s="94">
        <f>IFERROR(VLOOKUP($B500,'Aktuelle Einnahmen'!A2:G104,7,0),"")</f>
        <v>0</v>
      </c>
      <c r="I500" s="186" t="e">
        <f>DATE(H500,G500,F500)</f>
        <v>#NUM!</v>
      </c>
      <c r="J500" s="472">
        <f ca="1">J490</f>
        <v>45475</v>
      </c>
      <c r="K500" s="506" t="str">
        <f t="shared" si="168"/>
        <v>+Inflat.-P</v>
      </c>
      <c r="L500" s="1262" t="str">
        <f>IFERROR(VLOOKUP(B500,'Aktuelle Einnahmen'!A22:I124,9,0),"")</f>
        <v>Auswahl treffen</v>
      </c>
      <c r="M500" s="1263"/>
      <c r="N500" s="261"/>
      <c r="O500" s="261"/>
      <c r="P500" s="261"/>
      <c r="Q500" s="261"/>
      <c r="R500" s="189"/>
      <c r="S500" s="190"/>
      <c r="T500" s="190"/>
      <c r="U500" s="191"/>
      <c r="V500" s="192"/>
      <c r="W500" s="190"/>
      <c r="X500" s="190"/>
      <c r="Y500" s="191"/>
      <c r="Z500" s="192"/>
      <c r="AA500" s="190"/>
      <c r="AB500" s="190"/>
      <c r="AC500" s="191"/>
      <c r="AD500" s="192"/>
      <c r="AE500" s="190"/>
      <c r="AF500" s="190"/>
      <c r="AG500" s="191"/>
      <c r="AH500" s="193"/>
      <c r="AI500" s="190"/>
      <c r="AJ500" s="190"/>
      <c r="AK500" s="374"/>
      <c r="AL500" s="348"/>
      <c r="AM500" s="354"/>
      <c r="AN500" s="354"/>
      <c r="AO500" s="354"/>
      <c r="AP500" s="354"/>
      <c r="AQ500" s="350"/>
      <c r="AR500" s="769"/>
      <c r="AS500" s="769"/>
      <c r="AT500" s="769"/>
      <c r="BM500" s="335"/>
    </row>
    <row r="501" spans="1:65" ht="22.25" customHeight="1">
      <c r="A501" s="181">
        <f t="shared" si="164"/>
        <v>45292</v>
      </c>
      <c r="B501" s="484" t="e">
        <f>DAY(I500)</f>
        <v>#NUM!</v>
      </c>
      <c r="C501" s="489" t="s">
        <v>158</v>
      </c>
      <c r="D501" s="520" t="e">
        <f>(I501*4)+J501/3+1</f>
        <v>#NUM!</v>
      </c>
      <c r="E501" s="194" t="e">
        <f>J503+1</f>
        <v>#NUM!</v>
      </c>
      <c r="F501" s="195" t="e">
        <f t="shared" ref="F501:F508" si="178">DAY(E501)</f>
        <v>#NUM!</v>
      </c>
      <c r="G501" s="196" t="e">
        <f t="shared" ref="G501:G508" si="179">MONTH(E501)</f>
        <v>#NUM!</v>
      </c>
      <c r="H501" s="195" t="e">
        <f t="shared" ref="H501:H508" si="180">YEAR(E501)</f>
        <v>#NUM!</v>
      </c>
      <c r="I501" s="197" t="e">
        <f>H501-(H500+2000)</f>
        <v>#NUM!</v>
      </c>
      <c r="J501" s="198" t="e">
        <f>G501-G500</f>
        <v>#NUM!</v>
      </c>
      <c r="K501" s="506" t="str">
        <f>L499</f>
        <v/>
      </c>
      <c r="L501" s="469"/>
      <c r="M501" s="473" t="e">
        <f ca="1">SUM(J500-E502)&amp;" Tage"</f>
        <v>#NUM!</v>
      </c>
      <c r="N501" s="206"/>
      <c r="O501" s="201"/>
      <c r="P501" s="201"/>
      <c r="Q501" s="202"/>
      <c r="R501" s="189"/>
      <c r="S501" s="203"/>
      <c r="T501" s="203"/>
      <c r="U501" s="204"/>
      <c r="V501" s="192"/>
      <c r="W501" s="203"/>
      <c r="X501" s="203"/>
      <c r="Y501" s="204"/>
      <c r="Z501" s="192"/>
      <c r="AA501" s="203"/>
      <c r="AB501" s="203"/>
      <c r="AC501" s="204"/>
      <c r="AD501" s="192"/>
      <c r="AE501" s="203"/>
      <c r="AF501" s="203"/>
      <c r="AG501" s="204"/>
      <c r="AH501" s="193"/>
      <c r="AI501" s="203"/>
      <c r="AJ501" s="203"/>
      <c r="AK501" s="375"/>
      <c r="AL501" s="348"/>
      <c r="AM501" s="354"/>
      <c r="AN501" s="354"/>
      <c r="AO501" s="354"/>
      <c r="AP501" s="354"/>
      <c r="AQ501" s="350"/>
      <c r="AR501" s="769"/>
      <c r="AS501" s="769"/>
      <c r="AT501" s="769"/>
      <c r="BM501" s="335"/>
    </row>
    <row r="502" spans="1:65" ht="22.25" customHeight="1">
      <c r="A502" s="181">
        <f t="shared" si="164"/>
        <v>45292</v>
      </c>
      <c r="B502" s="485"/>
      <c r="C502" s="490"/>
      <c r="D502" s="521"/>
      <c r="E502" s="194" t="e">
        <f>DATE(YEAR(E501),MONTH(E501)+3,DAY(E501)-1)</f>
        <v>#NUM!</v>
      </c>
      <c r="F502" s="195" t="e">
        <f t="shared" si="178"/>
        <v>#NUM!</v>
      </c>
      <c r="G502" s="196" t="e">
        <f t="shared" si="179"/>
        <v>#NUM!</v>
      </c>
      <c r="H502" s="195" t="e">
        <f t="shared" si="180"/>
        <v>#NUM!</v>
      </c>
      <c r="I502" s="244">
        <v>-1</v>
      </c>
      <c r="J502" s="198" t="e">
        <f>F501-F500</f>
        <v>#NUM!</v>
      </c>
      <c r="K502" s="501" t="str">
        <f t="shared" si="168"/>
        <v>+Inflat.-P</v>
      </c>
      <c r="L502" s="511" t="e">
        <f>IF(M499="Stufe A",IF(AND(L500="Auswahl treffen",D501&gt;=0,D501&lt;=1000),J499,IF(AND(L500="Vermögend und ambulant",D501&gt;8,D501&lt;=1000),130,IF(AND(L500="Vermögend und ambulant",D501&gt;4,D501&lt;=8),158,IF(AND(L500="Vermögend und ambulant",D501&gt;2,D501&lt;=4),192,IF(AND(L500="Vermögend und ambulant",D501&gt;1,D501&lt;=2),208,IF(AND(L500="Vermögend und ambulant",D501&gt;0,D501&lt;=1),298,IF(AND(L500="Vermögend und stationär",D501&gt;8,D501&lt;=1000),78,IF(AND(L500="Vermögend und stationär",D501&gt;4,D501&lt;=8),91,IF(AND(L500="Vermögend und stationär",D501&gt;2,D501&lt;=4),140,IF(AND(L500="Vermögend und stationär",D501&gt;1,D501&lt;=2),158,IF(AND(L500="Vermögend und stationär",D501&gt;0,D501&lt;=1),200,IF(AND(L500="Mittellos und ambulant",D501&gt;8,D501&lt;=1000),105,IF(AND(L500="Mittellos und ambulant",D501&gt;4,D501&lt;=8),122,IF(AND(L500="Mittellos und ambulant",D501&gt;2,D501&lt;=4),151,IF(AND(L500="Mittellos und ambulant",D501&gt;1,D501&lt;=2),170,IF(AND(L500="Mittellos und ambulant",D501&gt;0,D501&lt;=1),208,IF(AND(L500="Mittellos und stationär",D501&gt;8,D501&lt;=1000),62,IF(AND(L500="Mittellos und stationär",D501&gt;4,D501&lt;=8),87,IF(AND(L500="Mittellos und stationär",D501&gt;2,D501&lt;=4),124,IF(AND(L500="Mittellos und stationär",D501&gt;1,D501&lt;=2),129,IF(AND(L500="Mittellos und stationär",D501&gt;0,D501&lt;=1),194,""))))))))))))))))))))),IF(M499="Stufe B",IF(AND(L500="Auswahl treffen",D501&gt;=0,D501&lt;=1000),J499,IF(AND(L500="Vermögend und ambulant",D501&gt;8,D501&lt;=1000),161,IF(AND(L500="Vermögend und ambulant",D501&gt;4,D501&lt;=8),196,IF(AND(L500="Vermögend und ambulant",D501&gt;2,D501&lt;=4),238,IF(AND(L500="Vermögend und ambulant",D501&gt;1,D501&lt;=2),258,IF(AND(L500="Vermögend und ambulant",D501&gt;0,D501&lt;=1),370,IF(AND(L500="Vermögend und stationär",D501&gt;8,D501&lt;=1000),96,IF(AND(L500="Vermögend und stationär",D501&gt;4,D501&lt;=8),113,IF(AND(L500="Vermögend und stationär",D501&gt;2,D501&lt;=4),174,IF(AND(L500="Vermögend und stationär",D501&gt;1,D501&lt;=2),196,IF(AND(L500="Vermögend und stationär",D501&gt;0,D501&lt;=1),249,IF(AND(L500="Mittellos und ambulant",D501&gt;8,D501&lt;=1000),130,IF(AND(L500="Mittellos und ambulant",D501&gt;4,D501&lt;=8),151,IF(AND(L500="Mittellos und ambulant",D501&gt;2,D501&lt;=4),188,IF(AND(L500="Mittellos und ambulant",D501&gt;1,D501&lt;=2),211,IF(AND(L500="Mittellos und ambulant",D501&gt;0,D501&lt;=1),258,IF(AND(L500="Mittellos und stationär",D501&gt;8,D501&lt;=1000),78,IF(AND(L500="Mittellos und stationär",D501&gt;4,D501&lt;=8),107,IF(AND(L500="Mittellos und stationär",D501&gt;2,D501&lt;=4),154,IF(AND(L500="Mittellos und stationär",D501&gt;1,D501&lt;=2),158,IF(AND(L500="Mittellos und stationär",D501&gt;0,D501&lt;=1),241,""))))))))))))))))))))),IF(M499="Stufe C",IF(AND(L500="Auswahl treffen",D501&gt;=0,D501&lt;=1000),J499,IF(AND(L500="Vermögend und ambulant",D501&gt;8,D501&lt;=1000),211,IF(AND(L500="Vermögend und ambulant",D501&gt;4,D501&lt;=8),257,IF(AND(L500="Vermögend und ambulant",D501&gt;2,D501&lt;=4),312,IF(AND(L500="Vermögend und ambulant",D501&gt;1,D501&lt;=2),339,IF(AND(L500="Vermögend und ambulant",D501&gt;0,D501&lt;=1),486,IF(AND(L500="Vermögend und stationär",D501&gt;8,D501&lt;=1000),127,IF(AND(L500="Vermögend und stationär",D501&gt;4,D501&lt;=8),149,IF(AND(L500="Vermögend und stationär",D501&gt;2,D501&lt;=4),229,IF(AND(L500="Vermögend und stationär",D501&gt;1,D501&lt;=2),257,IF(AND(L500="Vermögend und stationär",D501&gt;0,D501&lt;=1),327,IF(AND(L500="Mittellos und ambulant",D501&gt;8,D501&lt;=1000),171,IF(AND(L500="Mittellos und ambulant",D501&gt;4,D501&lt;=8),198,IF(AND(L500="Mittellos und ambulant",D501&gt;2,D501&lt;=4),246,IF(AND(L500="Mittellos und ambulant",D501&gt;1,D501&lt;=2),277,IF(AND(L500="Mittellos und ambulant",D501&gt;0,D501&lt;=1),339,IF(AND(L500="Mittellos und stationär",D501&gt;8,D501&lt;=1000),102,IF(AND(L500="Mittellos und stationär",D501&gt;4,D501&lt;=8),141,IF(AND(L500="Mittellos und stationär",D501&gt;2,D501&lt;=4),202,IF(AND(L500="Mittellos und stationär",D501&gt;1,D501&lt;=2),208,IF(AND(L500="Mittellos und stationär",D501&gt;0,D501&lt;=1),317,""))))))))))))))))))))),"")))*3+(J499*90)</f>
        <v>#NUM!</v>
      </c>
      <c r="M502" s="507" t="str">
        <f>CONCATENATE(K502, K501)</f>
        <v>+Inflat.-P</v>
      </c>
      <c r="N502" s="206" t="s">
        <v>118</v>
      </c>
      <c r="O502" s="207"/>
      <c r="P502" s="207"/>
      <c r="Q502" s="208"/>
      <c r="R502" s="187"/>
      <c r="S502" s="209" t="s">
        <v>118</v>
      </c>
      <c r="T502" s="201" t="s">
        <v>117</v>
      </c>
      <c r="U502" s="210" t="s">
        <v>26</v>
      </c>
      <c r="V502" s="192"/>
      <c r="W502" s="203"/>
      <c r="X502" s="203"/>
      <c r="Y502" s="210"/>
      <c r="Z502" s="192"/>
      <c r="AA502" s="203"/>
      <c r="AB502" s="203"/>
      <c r="AC502" s="210"/>
      <c r="AD502" s="192"/>
      <c r="AE502" s="203"/>
      <c r="AF502" s="203"/>
      <c r="AG502" s="210"/>
      <c r="AH502" s="193"/>
      <c r="AI502" s="203"/>
      <c r="AJ502" s="203"/>
      <c r="AK502" s="376"/>
      <c r="AL502" s="348" t="s">
        <v>148</v>
      </c>
      <c r="AM502" s="354">
        <f>IF(SUM(N500:N508)=SUM(S500:S508), 0, SUM(N500:N508)-SUM(S500:S508))</f>
        <v>0</v>
      </c>
      <c r="AN502" s="354"/>
      <c r="AO502" s="354"/>
      <c r="AP502" s="354"/>
      <c r="AQ502" s="350">
        <f>AM502+AN502+AO502+AP502</f>
        <v>0</v>
      </c>
      <c r="AR502" s="769"/>
      <c r="AS502" s="769"/>
      <c r="AT502" s="769"/>
      <c r="BM502" s="335"/>
    </row>
    <row r="503" spans="1:65" ht="22.25" customHeight="1">
      <c r="A503" s="181">
        <f t="shared" si="164"/>
        <v>45292</v>
      </c>
      <c r="B503" s="484" t="e">
        <f>MONTH(I500)</f>
        <v>#NUM!</v>
      </c>
      <c r="C503" s="489" t="s">
        <v>158</v>
      </c>
      <c r="D503" s="522" t="e">
        <f>D501+1</f>
        <v>#NUM!</v>
      </c>
      <c r="E503" s="211" t="e">
        <f>DATE(YEAR(E502),MONTH(E502),DAY(E502)+1)</f>
        <v>#NUM!</v>
      </c>
      <c r="F503" s="212" t="e">
        <f t="shared" si="178"/>
        <v>#NUM!</v>
      </c>
      <c r="G503" s="213" t="e">
        <f t="shared" si="179"/>
        <v>#NUM!</v>
      </c>
      <c r="H503" s="212" t="e">
        <f t="shared" si="180"/>
        <v>#NUM!</v>
      </c>
      <c r="I503" s="214" t="str">
        <f>IF(D500&lt;&gt;0,"-1T","")</f>
        <v/>
      </c>
      <c r="J503" s="215" t="e">
        <f>DATE($B505,I504,$B501)</f>
        <v>#NUM!</v>
      </c>
      <c r="K503" s="506" t="str">
        <f t="shared" si="168"/>
        <v/>
      </c>
      <c r="L503" s="470"/>
      <c r="M503" s="473" t="e">
        <f ca="1">SUM(J500-E504)&amp;" Tage"</f>
        <v>#NUM!</v>
      </c>
      <c r="N503" s="216"/>
      <c r="O503" s="217"/>
      <c r="P503" s="188"/>
      <c r="Q503" s="217"/>
      <c r="R503" s="189"/>
      <c r="S503" s="190"/>
      <c r="T503" s="190"/>
      <c r="U503" s="191"/>
      <c r="V503" s="192"/>
      <c r="W503" s="190"/>
      <c r="X503" s="190"/>
      <c r="Y503" s="191"/>
      <c r="Z503" s="192"/>
      <c r="AA503" s="190"/>
      <c r="AB503" s="190"/>
      <c r="AC503" s="191"/>
      <c r="AD503" s="192"/>
      <c r="AE503" s="190"/>
      <c r="AF503" s="190"/>
      <c r="AG503" s="191"/>
      <c r="AH503" s="193"/>
      <c r="AI503" s="190"/>
      <c r="AJ503" s="190"/>
      <c r="AK503" s="374"/>
      <c r="AL503" s="348"/>
      <c r="AM503" s="354"/>
      <c r="AN503" s="354"/>
      <c r="AO503" s="354"/>
      <c r="AP503" s="354"/>
      <c r="AQ503" s="350"/>
      <c r="AR503" s="769"/>
      <c r="AS503" s="769"/>
      <c r="AT503" s="769"/>
      <c r="BM503" s="335"/>
    </row>
    <row r="504" spans="1:65" ht="22.25" customHeight="1">
      <c r="A504" s="181">
        <f t="shared" si="164"/>
        <v>45292</v>
      </c>
      <c r="B504" s="485"/>
      <c r="C504" s="490"/>
      <c r="D504" s="521"/>
      <c r="E504" s="218" t="e">
        <f>DATE(YEAR(E503),MONTH(E503)+3,DAY(E503)-1)</f>
        <v>#NUM!</v>
      </c>
      <c r="F504" s="212" t="e">
        <f t="shared" si="178"/>
        <v>#NUM!</v>
      </c>
      <c r="G504" s="213" t="e">
        <f t="shared" si="179"/>
        <v>#NUM!</v>
      </c>
      <c r="H504" s="212" t="e">
        <f t="shared" si="180"/>
        <v>#NUM!</v>
      </c>
      <c r="I504" s="219">
        <f>MAX(I505:I508)</f>
        <v>9</v>
      </c>
      <c r="J504" s="220" t="e">
        <f>DATE(YEAR(J503)+1,MONTH(J503),DAY(J503))</f>
        <v>#NUM!</v>
      </c>
      <c r="K504" s="501" t="str">
        <f t="shared" si="168"/>
        <v>+Inflat.-P</v>
      </c>
      <c r="L504" s="508" t="e">
        <f>IF(M499="Stufe A",IF(AND(L500="Auswahl treffen",D503&gt;=0,D503&lt;=1000),J499,IF(AND(L500="Vermögend und ambulant",D503&gt;8,D503&lt;=1000),130,IF(AND(L500="Vermögend und ambulant",D503&gt;4,D503&lt;=8),158,IF(AND(L500="Vermögend und ambulant",D503&gt;2,D503&lt;=4),192,IF(AND(L500="Vermögend und ambulant",D503&gt;1,D503&lt;=2),208,IF(AND(L500="Vermögend und ambulant",D503&gt;0,D503&lt;=1),298,IF(AND(L500="Vermögend und stationär",D503&gt;8,D503&lt;=1000),78,IF(AND(L500="Vermögend und stationär",D503&gt;4,D503&lt;=8),91,IF(AND(L500="Vermögend und stationär",D503&gt;2,D503&lt;=4),140,IF(AND(L500="Vermögend und stationär",D503&gt;1,D503&lt;=2),158,IF(AND(L500="Vermögend und stationär",D503&gt;0,D503&lt;=1),200,IF(AND(L500="Mittellos und ambulant",D503&gt;8,D503&lt;=1000),105,IF(AND(L500="Mittellos und ambulant",D503&gt;4,D503&lt;=8),122,IF(AND(L500="Mittellos und ambulant",D503&gt;2,D503&lt;=4),151,IF(AND(L500="Mittellos und ambulant",D503&gt;1,D503&lt;=2),170,IF(AND(L500="Mittellos und ambulant",D503&gt;0,D503&lt;=1),208,IF(AND(L500="Mittellos und stationär",D503&gt;8,D503&lt;=1000),62,IF(AND(L500="Mittellos und stationär",D503&gt;4,D503&lt;=8),87,IF(AND(L500="Mittellos und stationär",D503&gt;2,D503&lt;=4),124,IF(AND(L500="Mittellos und stationär",D503&gt;1,D503&lt;=2),129,IF(AND(L500="Mittellos und stationär",D503&gt;0,D503&lt;=1),194,""))))))))))))))))))))),IF(M499="Stufe B",IF(AND(L500="Auswahl treffen",D503&gt;=0,D503&lt;=1000),J499,IF(AND(L500="Vermögend und ambulant",D503&gt;8,D503&lt;=1000),161,IF(AND(L500="Vermögend und ambulant",D503&gt;4,D503&lt;=8),196,IF(AND(L500="Vermögend und ambulant",D503&gt;2,D503&lt;=4),238,IF(AND(L500="Vermögend und ambulant",D503&gt;1,D503&lt;=2),258,IF(AND(L500="Vermögend und ambulant",D503&gt;0,D503&lt;=1),370,IF(AND(L500="Vermögend und stationär",D503&gt;8,D503&lt;=1000),96,IF(AND(L500="Vermögend und stationär",D503&gt;4,D503&lt;=8),113,IF(AND(L500="Vermögend und stationär",D503&gt;2,D503&lt;=4),174,IF(AND(L500="Vermögend und stationär",D503&gt;1,D503&lt;=2),196,IF(AND(L500="Vermögend und stationär",D503&gt;0,D503&lt;=1),249,IF(AND(L500="Mittellos und ambulant",D503&gt;8,D503&lt;=1000),130,IF(AND(L500="Mittellos und ambulant",D503&gt;4,D503&lt;=8),151,IF(AND(L500="Mittellos und ambulant",D503&gt;2,D503&lt;=4),188,IF(AND(L500="Mittellos und ambulant",D503&gt;1,D503&lt;=2),211,IF(AND(L500="Mittellos und ambulant",D503&gt;0,D503&lt;=1),258,IF(AND(L500="Mittellos und stationär",D503&gt;8,D503&lt;=1000),78,IF(AND(L500="Mittellos und stationär",D503&gt;4,D503&lt;=8),107,IF(AND(L500="Mittellos und stationär",D503&gt;2,D503&lt;=4),154,IF(AND(L500="Mittellos und stationär",D503&gt;1,D503&lt;=2),158,IF(AND(L500="Mittellos und stationär",D503&gt;0,D503&lt;=1),241,""))))))))))))))))))))),IF(M499="Stufe C",IF(AND(L500="Auswahl treffen",D503&gt;=0,D503&lt;=1000),J499,IF(AND(L500="Vermögend und ambulant",D503&gt;8,D503&lt;=1000),211,IF(AND(L500="Vermögend und ambulant",D503&gt;4,D503&lt;=8),257,IF(AND(L500="Vermögend und ambulant",D503&gt;2,D503&lt;=4),312,IF(AND(L500="Vermögend und ambulant",D503&gt;1,D503&lt;=2),339,IF(AND(L500="Vermögend und ambulant",D503&gt;0,D503&lt;=1),486,IF(AND(L500="Vermögend und stationär",D503&gt;8,D503&lt;=1000),127,IF(AND(L500="Vermögend und stationär",D503&gt;4,D503&lt;=8),149,IF(AND(L500="Vermögend und stationär",D503&gt;2,D503&lt;=4),229,IF(AND(L500="Vermögend und stationär",D503&gt;1,D503&lt;=2),257,IF(AND(L500="Vermögend und stationär",D503&gt;0,D503&lt;=1),327,IF(AND(L500="Mittellos und ambulant",D503&gt;8,D503&lt;=1000),171,IF(AND(L500="Mittellos und ambulant",D503&gt;4,D503&lt;=8),198,IF(AND(L500="Mittellos und ambulant",D503&gt;2,D503&lt;=4),246,IF(AND(L500="Mittellos und ambulant",D503&gt;1,D503&lt;=2),277,IF(AND(L500="Mittellos und ambulant",D503&gt;0,D503&lt;=1),339,IF(AND(L500="Mittellos und stationär",D503&gt;8,D503&lt;=1000),102,IF(AND(L500="Mittellos und stationär",D503&gt;4,D503&lt;=8),141,IF(AND(L500="Mittellos und stationär",D503&gt;2,D503&lt;=4),202,IF(AND(L500="Mittellos und stationär",D503&gt;1,D503&lt;=2),208,IF(AND(L500="Mittellos und stationär",D503&gt;0,D503&lt;=1),317,""))))))))))))))))))))),"")))*3+(J499*90)</f>
        <v>#NUM!</v>
      </c>
      <c r="M504" s="507" t="str">
        <f>CONCATENATE(K504, K503)</f>
        <v>+Inflat.-P</v>
      </c>
      <c r="N504" s="216"/>
      <c r="O504" s="188" t="s">
        <v>118</v>
      </c>
      <c r="P504" s="188"/>
      <c r="Q504" s="221"/>
      <c r="R504" s="199"/>
      <c r="S504" s="190"/>
      <c r="T504" s="190"/>
      <c r="U504" s="191"/>
      <c r="V504" s="192"/>
      <c r="W504" s="222" t="s">
        <v>118</v>
      </c>
      <c r="X504" s="222" t="s">
        <v>117</v>
      </c>
      <c r="Y504" s="191" t="s">
        <v>26</v>
      </c>
      <c r="Z504" s="192"/>
      <c r="AA504" s="190"/>
      <c r="AB504" s="190"/>
      <c r="AC504" s="191"/>
      <c r="AD504" s="192"/>
      <c r="AE504" s="190"/>
      <c r="AF504" s="190"/>
      <c r="AG504" s="191"/>
      <c r="AH504" s="193"/>
      <c r="AI504" s="190"/>
      <c r="AJ504" s="190"/>
      <c r="AK504" s="374"/>
      <c r="AL504" s="348" t="s">
        <v>149</v>
      </c>
      <c r="AM504" s="354"/>
      <c r="AN504" s="354">
        <f>IF(SUM(O500:O508)=SUM(W500:W508), 0, SUM(O500:O508)-SUM(W500:W508))</f>
        <v>0</v>
      </c>
      <c r="AO504" s="354"/>
      <c r="AP504" s="354"/>
      <c r="AQ504" s="350">
        <f>AM504+AN504+AO504+AP504</f>
        <v>0</v>
      </c>
      <c r="AR504" s="769"/>
      <c r="AS504" s="769"/>
      <c r="AT504" s="769"/>
      <c r="BM504" s="335"/>
    </row>
    <row r="505" spans="1:65" ht="22.25" customHeight="1">
      <c r="A505" s="181">
        <f t="shared" si="164"/>
        <v>45292</v>
      </c>
      <c r="B505" s="484">
        <f>YEAR($A506)-1</f>
        <v>2023</v>
      </c>
      <c r="C505" s="489" t="s">
        <v>158</v>
      </c>
      <c r="D505" s="520" t="e">
        <f>D503+1</f>
        <v>#NUM!</v>
      </c>
      <c r="E505" s="194" t="e">
        <f>DATE(YEAR(E504),MONTH(E504),DAY(E504)+1)</f>
        <v>#NUM!</v>
      </c>
      <c r="F505" s="195" t="e">
        <f t="shared" si="178"/>
        <v>#NUM!</v>
      </c>
      <c r="G505" s="196" t="e">
        <f t="shared" si="179"/>
        <v>#NUM!</v>
      </c>
      <c r="H505" s="195" t="e">
        <f t="shared" si="180"/>
        <v>#NUM!</v>
      </c>
      <c r="I505" s="197">
        <f>IF(J507&lt;13,J507,"")</f>
        <v>9</v>
      </c>
      <c r="J505" s="224">
        <f>G500</f>
        <v>0</v>
      </c>
      <c r="K505" s="506" t="str">
        <f t="shared" si="168"/>
        <v/>
      </c>
      <c r="L505" s="471"/>
      <c r="M505" s="473" t="e">
        <f ca="1">SUM(J500-E506)&amp;" Tage"</f>
        <v>#NUM!</v>
      </c>
      <c r="N505" s="200"/>
      <c r="O505" s="201"/>
      <c r="P505" s="201"/>
      <c r="Q505" s="202"/>
      <c r="R505" s="189"/>
      <c r="S505" s="203"/>
      <c r="T505" s="203"/>
      <c r="U505" s="204"/>
      <c r="V505" s="192"/>
      <c r="W505" s="203"/>
      <c r="X505" s="203"/>
      <c r="Y505" s="204"/>
      <c r="Z505" s="192"/>
      <c r="AA505" s="203"/>
      <c r="AB505" s="203"/>
      <c r="AC505" s="204"/>
      <c r="AD505" s="192"/>
      <c r="AE505" s="203"/>
      <c r="AF505" s="203"/>
      <c r="AG505" s="204"/>
      <c r="AH505" s="193"/>
      <c r="AI505" s="203"/>
      <c r="AJ505" s="203"/>
      <c r="AK505" s="375"/>
      <c r="AL505" s="348"/>
      <c r="AM505" s="354"/>
      <c r="AN505" s="354"/>
      <c r="AO505" s="354"/>
      <c r="AP505" s="354"/>
      <c r="AQ505" s="350"/>
      <c r="AR505" s="769"/>
      <c r="AS505" s="769"/>
      <c r="AT505" s="769"/>
      <c r="BM505" s="335"/>
    </row>
    <row r="506" spans="1:65" ht="22.25" customHeight="1">
      <c r="A506" s="181">
        <f t="shared" si="164"/>
        <v>45292</v>
      </c>
      <c r="B506" s="485"/>
      <c r="C506" s="490"/>
      <c r="D506" s="521"/>
      <c r="E506" s="194" t="e">
        <f>DATE(YEAR(E505),MONTH(E505)+3,DAY(E505)-1)</f>
        <v>#NUM!</v>
      </c>
      <c r="F506" s="195" t="e">
        <f t="shared" si="178"/>
        <v>#NUM!</v>
      </c>
      <c r="G506" s="196" t="e">
        <f t="shared" si="179"/>
        <v>#NUM!</v>
      </c>
      <c r="H506" s="195" t="e">
        <f t="shared" si="180"/>
        <v>#NUM!</v>
      </c>
      <c r="I506" s="244">
        <f>IF(J508&lt;13,J508,"")</f>
        <v>6</v>
      </c>
      <c r="J506" s="224">
        <f>J505+3</f>
        <v>3</v>
      </c>
      <c r="K506" s="501" t="str">
        <f t="shared" si="168"/>
        <v>+Inflat.-P</v>
      </c>
      <c r="L506" s="511" t="e">
        <f>IF(M499="Stufe A",IF(AND(L500="Auswahl treffen",D505&gt;=0,D505&lt;=1000),J499,IF(AND(L500="Vermögend und ambulant",D505&gt;8,D505&lt;=1000),130,IF(AND(L500="Vermögend und ambulant",D505&gt;4,D505&lt;=8),158,IF(AND(L500="Vermögend und ambulant",D505&gt;2,D505&lt;=4),192,IF(AND(L500="Vermögend und ambulant",D505&gt;1,D505&lt;=2),208,IF(AND(L500="Vermögend und ambulant",D505&gt;0,D505&lt;=1),298,IF(AND(L500="Vermögend und stationär",D505&gt;8,D505&lt;=1000),78,IF(AND(L500="Vermögend und stationär",D505&gt;4,D505&lt;=8),91,IF(AND(L500="Vermögend und stationär",D505&gt;2,D505&lt;=4),140,IF(AND(L500="Vermögend und stationär",D505&gt;1,D505&lt;=2),158,IF(AND(L500="Vermögend und stationär",D505&gt;0,D505&lt;=1),200,IF(AND(L500="Mittellos und ambulant",D505&gt;8,D505&lt;=1000),105,IF(AND(L500="Mittellos und ambulant",D505&gt;4,D505&lt;=8),122,IF(AND(L500="Mittellos und ambulant",D505&gt;2,D505&lt;=4),151,IF(AND(L500="Mittellos und ambulant",D505&gt;1,D505&lt;=2),170,IF(AND(L500="Mittellos und ambulant",D505&gt;0,D505&lt;=1),208,IF(AND(L500="Mittellos und stationär",D505&gt;8,D505&lt;=1000),62,IF(AND(L500="Mittellos und stationär",D505&gt;4,D505&lt;=8),87,IF(AND(L500="Mittellos und stationär",D505&gt;2,D505&lt;=4),124,IF(AND(L500="Mittellos und stationär",D505&gt;1,D505&lt;=2),129,IF(AND(L500="Mittellos und stationär",D505&gt;0,D505&lt;=1),194,""))))))))))))))))))))),IF(M499="Stufe B",IF(AND(L500="Auswahl treffen",D505&gt;=0,D505&lt;=1000),J499,IF(AND(L500="Vermögend und ambulant",D505&gt;8,D505&lt;=1000),161,IF(AND(L500="Vermögend und ambulant",D505&gt;4,D505&lt;=8),196,IF(AND(L500="Vermögend und ambulant",D505&gt;2,D505&lt;=4),238,IF(AND(L500="Vermögend und ambulant",D505&gt;1,D505&lt;=2),258,IF(AND(L500="Vermögend und ambulant",D505&gt;0,D505&lt;=1),370,IF(AND(L500="Vermögend und stationär",D505&gt;8,D505&lt;=1000),96,IF(AND(L500="Vermögend und stationär",D505&gt;4,D505&lt;=8),113,IF(AND(L500="Vermögend und stationär",D505&gt;2,D505&lt;=4),174,IF(AND(L500="Vermögend und stationär",D505&gt;1,D505&lt;=2),196,IF(AND(L500="Vermögend und stationär",D505&gt;0,D505&lt;=1),249,IF(AND(L500="Mittellos und ambulant",D505&gt;8,D505&lt;=1000),130,IF(AND(L500="Mittellos und ambulant",D505&gt;4,D505&lt;=8),151,IF(AND(L500="Mittellos und ambulant",D505&gt;2,D505&lt;=4),188,IF(AND(L500="Mittellos und ambulant",D505&gt;1,D505&lt;=2),211,IF(AND(L500="Mittellos und ambulant",D505&gt;0,D505&lt;=1),258,IF(AND(L500="Mittellos und stationär",D505&gt;8,D505&lt;=1000),78,IF(AND(L500="Mittellos und stationär",D505&gt;4,D505&lt;=8),107,IF(AND(L500="Mittellos und stationär",D505&gt;2,D505&lt;=4),154,IF(AND(L500="Mittellos und stationär",D505&gt;1,D505&lt;=2),158,IF(AND(L500="Mittellos und stationär",D505&gt;0,D505&lt;=1),241,""))))))))))))))))))))),IF(M499="Stufe C",IF(AND(L500="Auswahl treffen",D505&gt;=0,D505&lt;=1000),J499,IF(AND(L500="Vermögend und ambulant",D505&gt;8,D505&lt;=1000),211,IF(AND(L500="Vermögend und ambulant",D505&gt;4,D505&lt;=8),257,IF(AND(L500="Vermögend und ambulant",D505&gt;2,D505&lt;=4),312,IF(AND(L500="Vermögend und ambulant",D505&gt;1,D505&lt;=2),339,IF(AND(L500="Vermögend und ambulant",D505&gt;0,D505&lt;=1),486,IF(AND(L500="Vermögend und stationär",D505&gt;8,D505&lt;=1000),127,IF(AND(L500="Vermögend und stationär",D505&gt;4,D505&lt;=8),149,IF(AND(L500="Vermögend und stationär",D505&gt;2,D505&lt;=4),229,IF(AND(L500="Vermögend und stationär",D505&gt;1,D505&lt;=2),257,IF(AND(L500="Vermögend und stationär",D505&gt;0,D505&lt;=1),327,IF(AND(L500="Mittellos und ambulant",D505&gt;8,D505&lt;=1000),171,IF(AND(L500="Mittellos und ambulant",D505&gt;4,D505&lt;=8),198,IF(AND(L500="Mittellos und ambulant",D505&gt;2,D505&lt;=4),246,IF(AND(L500="Mittellos und ambulant",D505&gt;1,D505&lt;=2),277,IF(AND(L500="Mittellos und ambulant",D505&gt;0,D505&lt;=1),339,IF(AND(L500="Mittellos und stationär",D505&gt;8,D505&lt;=1000),102,IF(AND(L500="Mittellos und stationär",D505&gt;4,D505&lt;=8),141,IF(AND(L500="Mittellos und stationär",D505&gt;2,D505&lt;=4),202,IF(AND(L500="Mittellos und stationär",D505&gt;1,D505&lt;=2),208,IF(AND(L500="Mittellos und stationär",D505&gt;0,D505&lt;=1),317,""))))))))))))))))))))),"")))*3+(J499*90)</f>
        <v>#NUM!</v>
      </c>
      <c r="M506" s="507" t="str">
        <f>CONCATENATE(K506, K505)</f>
        <v>+Inflat.-P</v>
      </c>
      <c r="N506" s="206"/>
      <c r="O506" s="207"/>
      <c r="P506" s="206" t="s">
        <v>118</v>
      </c>
      <c r="Q506" s="226"/>
      <c r="R506" s="189"/>
      <c r="S506" s="203"/>
      <c r="T506" s="203"/>
      <c r="U506" s="204"/>
      <c r="V506" s="192"/>
      <c r="W506" s="203"/>
      <c r="X506" s="203"/>
      <c r="Y506" s="204"/>
      <c r="Z506" s="192"/>
      <c r="AA506" s="209" t="s">
        <v>118</v>
      </c>
      <c r="AB506" s="209" t="s">
        <v>117</v>
      </c>
      <c r="AC506" s="204" t="s">
        <v>26</v>
      </c>
      <c r="AD506" s="192"/>
      <c r="AE506" s="203"/>
      <c r="AF506" s="203"/>
      <c r="AG506" s="204"/>
      <c r="AH506" s="193"/>
      <c r="AI506" s="203"/>
      <c r="AJ506" s="203"/>
      <c r="AK506" s="375"/>
      <c r="AL506" s="348" t="s">
        <v>150</v>
      </c>
      <c r="AM506" s="354"/>
      <c r="AN506" s="354"/>
      <c r="AO506" s="354">
        <f>IF(SUM(P500:P508)=SUM(AA500:AA508), 0, SUM(P500:P508)-SUM(AA500:AA508))</f>
        <v>0</v>
      </c>
      <c r="AP506" s="354"/>
      <c r="AQ506" s="350">
        <f>AM506+AN506+AO506+AP506</f>
        <v>0</v>
      </c>
      <c r="AR506" s="769"/>
      <c r="AS506" s="769"/>
      <c r="AT506" s="769"/>
      <c r="BM506" s="335"/>
    </row>
    <row r="507" spans="1:65" ht="22.25" customHeight="1">
      <c r="A507" s="181">
        <f t="shared" si="164"/>
        <v>45292</v>
      </c>
      <c r="B507" s="486"/>
      <c r="C507" s="489" t="s">
        <v>158</v>
      </c>
      <c r="D507" s="522" t="e">
        <f>D505+1</f>
        <v>#NUM!</v>
      </c>
      <c r="E507" s="211" t="e">
        <f>DATE(YEAR(E506),MONTH(E506),DAY(E506)+1)</f>
        <v>#NUM!</v>
      </c>
      <c r="F507" s="227" t="e">
        <f t="shared" si="178"/>
        <v>#NUM!</v>
      </c>
      <c r="G507" s="228" t="e">
        <f t="shared" si="179"/>
        <v>#NUM!</v>
      </c>
      <c r="H507" s="227" t="e">
        <f t="shared" si="180"/>
        <v>#NUM!</v>
      </c>
      <c r="I507" s="231">
        <f>IF(J506&lt;13,J506,"")</f>
        <v>3</v>
      </c>
      <c r="J507" s="230">
        <f>J508+3</f>
        <v>9</v>
      </c>
      <c r="K507" s="506" t="str">
        <f t="shared" si="168"/>
        <v/>
      </c>
      <c r="L507" s="471"/>
      <c r="M507" s="473" t="e">
        <f ca="1">SUM(J500-E508)&amp;" Tage"</f>
        <v>#NUM!</v>
      </c>
      <c r="N507" s="216"/>
      <c r="O507" s="188"/>
      <c r="P507" s="188"/>
      <c r="Q507" s="217"/>
      <c r="R507" s="189"/>
      <c r="S507" s="190"/>
      <c r="T507" s="190"/>
      <c r="U507" s="191"/>
      <c r="V507" s="192"/>
      <c r="W507" s="190"/>
      <c r="X507" s="190"/>
      <c r="Y507" s="191"/>
      <c r="Z507" s="192"/>
      <c r="AA507" s="190"/>
      <c r="AB507" s="190"/>
      <c r="AC507" s="191"/>
      <c r="AD507" s="192"/>
      <c r="AE507" s="190"/>
      <c r="AF507" s="190"/>
      <c r="AG507" s="191"/>
      <c r="AH507" s="193"/>
      <c r="AI507" s="190"/>
      <c r="AJ507" s="190"/>
      <c r="AK507" s="374"/>
      <c r="AL507" s="348"/>
      <c r="AM507" s="354"/>
      <c r="AN507" s="354"/>
      <c r="AO507" s="354"/>
      <c r="AP507" s="354"/>
      <c r="AQ507" s="350"/>
      <c r="AR507" s="769"/>
      <c r="AS507" s="769"/>
      <c r="AT507" s="769"/>
      <c r="BM507" s="335"/>
    </row>
    <row r="508" spans="1:65" ht="22.25" customHeight="1">
      <c r="A508" s="181">
        <f t="shared" si="164"/>
        <v>45292</v>
      </c>
      <c r="B508" s="485"/>
      <c r="C508" s="490"/>
      <c r="D508" s="521"/>
      <c r="E508" s="218" t="e">
        <f>DATE(YEAR(E507),MONTH(E507)+3,DAY(E507)-1)</f>
        <v>#NUM!</v>
      </c>
      <c r="F508" s="227" t="e">
        <f t="shared" si="178"/>
        <v>#NUM!</v>
      </c>
      <c r="G508" s="228" t="e">
        <f t="shared" si="179"/>
        <v>#NUM!</v>
      </c>
      <c r="H508" s="227" t="e">
        <f t="shared" si="180"/>
        <v>#NUM!</v>
      </c>
      <c r="I508" s="231">
        <f>IF(J505&lt;13,J505,"")</f>
        <v>0</v>
      </c>
      <c r="J508" s="230">
        <f>J506+3</f>
        <v>6</v>
      </c>
      <c r="K508" s="501" t="str">
        <f t="shared" si="168"/>
        <v>+Inflat.-P</v>
      </c>
      <c r="L508" s="508" t="e">
        <f>IF(M499="Stufe A",IF(AND(L500="Auswahl treffen",D507&gt;=0,D507&lt;=1000),J499,IF(AND(L500="Vermögend und ambulant",D507&gt;8,D507&lt;=1000),130,IF(AND(L500="Vermögend und ambulant",D507&gt;4,D507&lt;=8),158,IF(AND(L500="Vermögend und ambulant",D507&gt;2,D507&lt;=4),192,IF(AND(L500="Vermögend und ambulant",D507&gt;1,D507&lt;=2),208,IF(AND(L500="Vermögend und ambulant",D507&gt;0,D507&lt;=1),298,IF(AND(L500="Vermögend und stationär",D507&gt;8,D507&lt;=1000),78,IF(AND(L500="Vermögend und stationär",D507&gt;4,D507&lt;=8),91,IF(AND(L500="Vermögend und stationär",D507&gt;2,D507&lt;=4),140,IF(AND(L500="Vermögend und stationär",D507&gt;1,D507&lt;=2),158,IF(AND(L500="Vermögend und stationär",D507&gt;0,D507&lt;=1),200,IF(AND(L500="Mittellos und ambulant",D507&gt;8,D507&lt;=1000),105,IF(AND(L500="Mittellos und ambulant",D507&gt;4,D507&lt;=8),122,IF(AND(L500="Mittellos und ambulant",D507&gt;2,D507&lt;=4),151,IF(AND(L500="Mittellos und ambulant",D507&gt;1,D507&lt;=2),170,IF(AND(L500="Mittellos und ambulant",D507&gt;0,D507&lt;=1),208,IF(AND(L500="Mittellos und stationär",D507&gt;8,D507&lt;=1000),62,IF(AND(L500="Mittellos und stationär",D507&gt;4,D507&lt;=8),87,IF(AND(L500="Mittellos und stationär",D507&gt;2,D507&lt;=4),124,IF(AND(L500="Mittellos und stationär",D507&gt;1,D507&lt;=2),129,IF(AND(L500="Mittellos und stationär",D507&gt;0,D507&lt;=1),194,""))))))))))))))))))))),IF(M499="Stufe B",IF(AND(L500="Auswahl treffen",D507&gt;=0,D507&lt;=1000),J499,IF(AND(L500="Vermögend und ambulant",D507&gt;8,D507&lt;=1000),161,IF(AND(L500="Vermögend und ambulant",D507&gt;4,D507&lt;=8),196,IF(AND(L500="Vermögend und ambulant",D507&gt;2,D507&lt;=4),238,IF(AND(L500="Vermögend und ambulant",D507&gt;1,D507&lt;=2),258,IF(AND(L500="Vermögend und ambulant",D507&gt;0,D507&lt;=1),370,IF(AND(L500="Vermögend und stationär",D507&gt;8,D507&lt;=1000),96,IF(AND(L500="Vermögend und stationär",D507&gt;4,D507&lt;=8),113,IF(AND(L500="Vermögend und stationär",D507&gt;2,D507&lt;=4),174,IF(AND(L500="Vermögend und stationär",D507&gt;1,D507&lt;=2),196,IF(AND(L500="Vermögend und stationär",D507&gt;0,D507&lt;=1),249,IF(AND(L500="Mittellos und ambulant",D507&gt;8,D507&lt;=1000),130,IF(AND(L500="Mittellos und ambulant",D507&gt;4,D507&lt;=8),151,IF(AND(L500="Mittellos und ambulant",D507&gt;2,D507&lt;=4),188,IF(AND(L500="Mittellos und ambulant",D507&gt;1,D507&lt;=2),211,IF(AND(L500="Mittellos und ambulant",D507&gt;0,D507&lt;=1),258,IF(AND(L500="Mittellos und stationär",D507&gt;8,D507&lt;=1000),78,IF(AND(L500="Mittellos und stationär",D507&gt;4,D507&lt;=8),107,IF(AND(L500="Mittellos und stationär",D507&gt;2,D507&lt;=4),154,IF(AND(L500="Mittellos und stationär",D507&gt;1,D507&lt;=2),158,IF(AND(L500="Mittellos und stationär",D507&gt;0,D507&lt;=1),241,""))))))))))))))))))))),IF(M499="Stufe C",IF(AND(L500="Auswahl treffen",D507&gt;=0,D507&lt;=1000),J499,IF(AND(L500="Vermögend und ambulant",D507&gt;8,D507&lt;=1000),211,IF(AND(L500="Vermögend und ambulant",D507&gt;4,D507&lt;=8),257,IF(AND(L500="Vermögend und ambulant",D507&gt;2,D507&lt;=4),312,IF(AND(L500="Vermögend und ambulant",D507&gt;1,D507&lt;=2),339,IF(AND(L500="Vermögend und ambulant",D507&gt;0,D507&lt;=1),486,IF(AND(L500="Vermögend und stationär",D507&gt;8,D507&lt;=1000),127,IF(AND(L500="Vermögend und stationär",D507&gt;4,D507&lt;=8),149,IF(AND(L500="Vermögend und stationär",D507&gt;2,D507&lt;=4),229,IF(AND(L500="Vermögend und stationär",D507&gt;1,D507&lt;=2),257,IF(AND(L500="Vermögend und stationär",D507&gt;0,D507&lt;=1),327,IF(AND(L500="Mittellos und ambulant",D507&gt;8,D507&lt;=1000),171,IF(AND(L500="Mittellos und ambulant",D507&gt;4,D507&lt;=8),198,IF(AND(L500="Mittellos und ambulant",D507&gt;2,D507&lt;=4),246,IF(AND(L500="Mittellos und ambulant",D507&gt;1,D507&lt;=2),277,IF(AND(L500="Mittellos und ambulant",D507&gt;0,D507&lt;=1),339,IF(AND(L500="Mittellos und stationär",D507&gt;8,D507&lt;=1000),102,IF(AND(L500="Mittellos und stationär",D507&gt;4,D507&lt;=8),141,IF(AND(L500="Mittellos und stationär",D507&gt;2,D507&lt;=4),202,IF(AND(L500="Mittellos und stationär",D507&gt;1,D507&lt;=2),208,IF(AND(L500="Mittellos und stationär",D507&gt;0,D507&lt;=1),317,""))))))))))))))))))))),"")))*3+(J499*90)</f>
        <v>#NUM!</v>
      </c>
      <c r="M508" s="507" t="str">
        <f>CONCATENATE(K508, K507)</f>
        <v>+Inflat.-P</v>
      </c>
      <c r="N508" s="216"/>
      <c r="O508" s="188"/>
      <c r="P508" s="188"/>
      <c r="Q508" s="217" t="s">
        <v>118</v>
      </c>
      <c r="R508" s="189"/>
      <c r="S508" s="190"/>
      <c r="T508" s="190"/>
      <c r="U508" s="191"/>
      <c r="V508" s="192"/>
      <c r="W508" s="190"/>
      <c r="X508" s="190"/>
      <c r="Y508" s="191"/>
      <c r="Z508" s="192"/>
      <c r="AA508" s="190"/>
      <c r="AB508" s="190"/>
      <c r="AC508" s="191"/>
      <c r="AD508" s="192"/>
      <c r="AE508" s="190" t="s">
        <v>118</v>
      </c>
      <c r="AF508" s="190" t="s">
        <v>117</v>
      </c>
      <c r="AG508" s="191" t="s">
        <v>26</v>
      </c>
      <c r="AH508" s="193"/>
      <c r="AI508" s="190" t="s">
        <v>118</v>
      </c>
      <c r="AJ508" s="190" t="s">
        <v>117</v>
      </c>
      <c r="AK508" s="374" t="s">
        <v>26</v>
      </c>
      <c r="AL508" s="348" t="s">
        <v>151</v>
      </c>
      <c r="AM508" s="354"/>
      <c r="AN508" s="354"/>
      <c r="AO508" s="354"/>
      <c r="AP508" s="354">
        <f>IF(SUM(Q500:Q508)=SUM(AE500:AE508,AI500:AI508), 0, SUM(Q500:Q508)-SUM(AE500:AE508,AI500:AI508))</f>
        <v>0</v>
      </c>
      <c r="AQ508" s="350">
        <f>AM508+AN508+AO508+AP508</f>
        <v>0</v>
      </c>
      <c r="AR508" s="769"/>
      <c r="AS508" s="769"/>
      <c r="AT508" s="769"/>
      <c r="BM508" s="335"/>
    </row>
    <row r="509" spans="1:65" ht="22" customHeight="1">
      <c r="A509" s="181">
        <f t="shared" si="164"/>
        <v>45292</v>
      </c>
      <c r="B509" s="232" t="s">
        <v>74</v>
      </c>
      <c r="C509" s="233" t="s">
        <v>75</v>
      </c>
      <c r="D509" s="234" t="s">
        <v>76</v>
      </c>
      <c r="E509" s="235" t="s">
        <v>11</v>
      </c>
      <c r="F509" s="235" t="s">
        <v>4</v>
      </c>
      <c r="G509" s="235" t="s">
        <v>5</v>
      </c>
      <c r="H509" s="235" t="s">
        <v>6</v>
      </c>
      <c r="I509" s="236" t="s">
        <v>77</v>
      </c>
      <c r="J509" s="306"/>
      <c r="K509" s="501" t="str">
        <f t="shared" si="168"/>
        <v/>
      </c>
      <c r="L509" s="306" t="str">
        <f>IFERROR(VLOOKUP(B510,'Aktuelle Einnahmen'!A2:J104,10,0),"")</f>
        <v/>
      </c>
      <c r="M509" s="510" t="str">
        <f>M499</f>
        <v>Stufe C</v>
      </c>
      <c r="N509" s="237"/>
      <c r="O509" s="238"/>
      <c r="P509" s="238"/>
      <c r="Q509" s="239"/>
      <c r="R509" s="240"/>
      <c r="S509" s="241"/>
      <c r="T509" s="241"/>
      <c r="U509" s="242"/>
      <c r="V509" s="243"/>
      <c r="W509" s="241"/>
      <c r="X509" s="241"/>
      <c r="Y509" s="242"/>
      <c r="Z509" s="243"/>
      <c r="AA509" s="241"/>
      <c r="AB509" s="241"/>
      <c r="AC509" s="242"/>
      <c r="AD509" s="243"/>
      <c r="AE509" s="241"/>
      <c r="AF509" s="241"/>
      <c r="AG509" s="242"/>
      <c r="AH509" s="240"/>
      <c r="AI509" s="241"/>
      <c r="AJ509" s="241"/>
      <c r="AK509" s="377"/>
      <c r="AL509" s="347"/>
      <c r="AM509" s="353"/>
      <c r="AN509" s="353"/>
      <c r="AO509" s="353"/>
      <c r="AP509" s="353"/>
      <c r="AQ509" s="349"/>
      <c r="AR509" s="768"/>
      <c r="AS509" s="768"/>
      <c r="AT509" s="768"/>
      <c r="BM509" s="335"/>
    </row>
    <row r="510" spans="1:65" ht="23" customHeight="1">
      <c r="A510" s="181">
        <f t="shared" si="164"/>
        <v>45292</v>
      </c>
      <c r="B510" s="182">
        <v>51</v>
      </c>
      <c r="C510" s="245">
        <f>IFERROR(VLOOKUP($B510,'Aktuelle Einnahmen'!A2:G104,3,0),"")</f>
        <v>0</v>
      </c>
      <c r="D510" s="246">
        <f>IFERROR(VLOOKUP($B510,'Aktuelle Einnahmen'!A2:G104,2,0),"")</f>
        <v>0</v>
      </c>
      <c r="E510" s="247">
        <f>IFERROR(VLOOKUP($B510,'Aktuelle Einnahmen'!A2:G104,4,0),"")</f>
        <v>0</v>
      </c>
      <c r="F510" s="94">
        <f>IFERROR(VLOOKUP($B510,'Aktuelle Einnahmen'!A2:G104,5,0),"")</f>
        <v>0</v>
      </c>
      <c r="G510" s="94">
        <f>IFERROR(VLOOKUP($B510,'Aktuelle Einnahmen'!A2:G104,6,0),"")</f>
        <v>0</v>
      </c>
      <c r="H510" s="94">
        <f>IFERROR(VLOOKUP($B510,'Aktuelle Einnahmen'!A2:G104,7,0),"")</f>
        <v>0</v>
      </c>
      <c r="I510" s="186" t="e">
        <f>DATE(H510,G510,F510)</f>
        <v>#NUM!</v>
      </c>
      <c r="J510" s="472">
        <f ca="1">J500</f>
        <v>45475</v>
      </c>
      <c r="K510" s="506" t="str">
        <f t="shared" si="168"/>
        <v>+Inflat.-P</v>
      </c>
      <c r="L510" s="1262" t="str">
        <f>IFERROR(VLOOKUP(B510,'Aktuelle Einnahmen'!A22:I124,9,0),"")</f>
        <v>Auswahl treffen</v>
      </c>
      <c r="M510" s="1263"/>
      <c r="N510" s="261"/>
      <c r="O510" s="261"/>
      <c r="P510" s="261"/>
      <c r="Q510" s="261"/>
      <c r="R510" s="189"/>
      <c r="S510" s="190"/>
      <c r="T510" s="190"/>
      <c r="U510" s="191"/>
      <c r="V510" s="192"/>
      <c r="W510" s="190"/>
      <c r="X510" s="190"/>
      <c r="Y510" s="191"/>
      <c r="Z510" s="192"/>
      <c r="AA510" s="190"/>
      <c r="AB510" s="190"/>
      <c r="AC510" s="191"/>
      <c r="AD510" s="192"/>
      <c r="AE510" s="190"/>
      <c r="AF510" s="190"/>
      <c r="AG510" s="191"/>
      <c r="AH510" s="193"/>
      <c r="AI510" s="190"/>
      <c r="AJ510" s="190"/>
      <c r="AK510" s="374"/>
      <c r="AL510" s="348"/>
      <c r="AM510" s="354"/>
      <c r="AN510" s="354"/>
      <c r="AO510" s="354"/>
      <c r="AP510" s="354"/>
      <c r="AQ510" s="350"/>
      <c r="AR510" s="769"/>
      <c r="AS510" s="769"/>
      <c r="AT510" s="769"/>
      <c r="BM510" s="335"/>
    </row>
    <row r="511" spans="1:65" ht="22.25" customHeight="1">
      <c r="A511" s="181">
        <f t="shared" si="164"/>
        <v>45292</v>
      </c>
      <c r="B511" s="484" t="e">
        <f>DAY(I510)</f>
        <v>#NUM!</v>
      </c>
      <c r="C511" s="489" t="s">
        <v>158</v>
      </c>
      <c r="D511" s="520" t="e">
        <f>(I511*4)+J511/3+1</f>
        <v>#NUM!</v>
      </c>
      <c r="E511" s="194" t="e">
        <f>J513+1</f>
        <v>#NUM!</v>
      </c>
      <c r="F511" s="195" t="e">
        <f t="shared" ref="F511:F518" si="181">DAY(E511)</f>
        <v>#NUM!</v>
      </c>
      <c r="G511" s="196" t="e">
        <f t="shared" ref="G511:G518" si="182">MONTH(E511)</f>
        <v>#NUM!</v>
      </c>
      <c r="H511" s="195" t="e">
        <f t="shared" ref="H511:H518" si="183">YEAR(E511)</f>
        <v>#NUM!</v>
      </c>
      <c r="I511" s="197" t="e">
        <f>H511-(H510+2000)</f>
        <v>#NUM!</v>
      </c>
      <c r="J511" s="198" t="e">
        <f>G511-G510</f>
        <v>#NUM!</v>
      </c>
      <c r="K511" s="506" t="str">
        <f>L509</f>
        <v/>
      </c>
      <c r="L511" s="469"/>
      <c r="M511" s="473" t="e">
        <f ca="1">SUM(J510-E512)&amp;" Tage"</f>
        <v>#NUM!</v>
      </c>
      <c r="N511" s="206"/>
      <c r="O511" s="201"/>
      <c r="P511" s="201"/>
      <c r="Q511" s="202"/>
      <c r="R511" s="189"/>
      <c r="S511" s="203"/>
      <c r="T511" s="203"/>
      <c r="U511" s="204"/>
      <c r="V511" s="192"/>
      <c r="W511" s="203"/>
      <c r="X511" s="203"/>
      <c r="Y511" s="204"/>
      <c r="Z511" s="192"/>
      <c r="AA511" s="203"/>
      <c r="AB511" s="203"/>
      <c r="AC511" s="204"/>
      <c r="AD511" s="192"/>
      <c r="AE511" s="203"/>
      <c r="AF511" s="203"/>
      <c r="AG511" s="204"/>
      <c r="AH511" s="193"/>
      <c r="AI511" s="203"/>
      <c r="AJ511" s="203"/>
      <c r="AK511" s="375"/>
      <c r="AL511" s="348"/>
      <c r="AM511" s="354"/>
      <c r="AN511" s="354"/>
      <c r="AO511" s="354"/>
      <c r="AP511" s="354"/>
      <c r="AQ511" s="350"/>
      <c r="AR511" s="769"/>
      <c r="AS511" s="769"/>
      <c r="AT511" s="769"/>
      <c r="BM511" s="335"/>
    </row>
    <row r="512" spans="1:65" ht="22.25" customHeight="1">
      <c r="A512" s="181">
        <f t="shared" si="164"/>
        <v>45292</v>
      </c>
      <c r="B512" s="485"/>
      <c r="C512" s="490"/>
      <c r="D512" s="521"/>
      <c r="E512" s="194" t="e">
        <f>DATE(YEAR(E511),MONTH(E511)+3,DAY(E511)-1)</f>
        <v>#NUM!</v>
      </c>
      <c r="F512" s="195" t="e">
        <f t="shared" si="181"/>
        <v>#NUM!</v>
      </c>
      <c r="G512" s="196" t="e">
        <f t="shared" si="182"/>
        <v>#NUM!</v>
      </c>
      <c r="H512" s="195" t="e">
        <f t="shared" si="183"/>
        <v>#NUM!</v>
      </c>
      <c r="I512" s="244">
        <v>-1</v>
      </c>
      <c r="J512" s="198" t="e">
        <f>F511-F510</f>
        <v>#NUM!</v>
      </c>
      <c r="K512" s="506" t="str">
        <f t="shared" si="168"/>
        <v>+Inflat.-P</v>
      </c>
      <c r="L512" s="511" t="e">
        <f>IF(M509="Stufe A",IF(AND(L510="Auswahl treffen",D511&gt;=0,D511&lt;=1000),J509,IF(AND(L510="Vermögend und ambulant",D511&gt;8,D511&lt;=1000),130,IF(AND(L510="Vermögend und ambulant",D511&gt;4,D511&lt;=8),158,IF(AND(L510="Vermögend und ambulant",D511&gt;2,D511&lt;=4),192,IF(AND(L510="Vermögend und ambulant",D511&gt;1,D511&lt;=2),208,IF(AND(L510="Vermögend und ambulant",D511&gt;0,D511&lt;=1),298,IF(AND(L510="Vermögend und stationär",D511&gt;8,D511&lt;=1000),78,IF(AND(L510="Vermögend und stationär",D511&gt;4,D511&lt;=8),91,IF(AND(L510="Vermögend und stationär",D511&gt;2,D511&lt;=4),140,IF(AND(L510="Vermögend und stationär",D511&gt;1,D511&lt;=2),158,IF(AND(L510="Vermögend und stationär",D511&gt;0,D511&lt;=1),200,IF(AND(L510="Mittellos und ambulant",D511&gt;8,D511&lt;=1000),105,IF(AND(L510="Mittellos und ambulant",D511&gt;4,D511&lt;=8),122,IF(AND(L510="Mittellos und ambulant",D511&gt;2,D511&lt;=4),151,IF(AND(L510="Mittellos und ambulant",D511&gt;1,D511&lt;=2),170,IF(AND(L510="Mittellos und ambulant",D511&gt;0,D511&lt;=1),208,IF(AND(L510="Mittellos und stationär",D511&gt;8,D511&lt;=1000),62,IF(AND(L510="Mittellos und stationär",D511&gt;4,D511&lt;=8),87,IF(AND(L510="Mittellos und stationär",D511&gt;2,D511&lt;=4),124,IF(AND(L510="Mittellos und stationär",D511&gt;1,D511&lt;=2),129,IF(AND(L510="Mittellos und stationär",D511&gt;0,D511&lt;=1),194,""))))))))))))))))))))),IF(M509="Stufe B",IF(AND(L510="Auswahl treffen",D511&gt;=0,D511&lt;=1000),J509,IF(AND(L510="Vermögend und ambulant",D511&gt;8,D511&lt;=1000),161,IF(AND(L510="Vermögend und ambulant",D511&gt;4,D511&lt;=8),196,IF(AND(L510="Vermögend und ambulant",D511&gt;2,D511&lt;=4),238,IF(AND(L510="Vermögend und ambulant",D511&gt;1,D511&lt;=2),258,IF(AND(L510="Vermögend und ambulant",D511&gt;0,D511&lt;=1),370,IF(AND(L510="Vermögend und stationär",D511&gt;8,D511&lt;=1000),96,IF(AND(L510="Vermögend und stationär",D511&gt;4,D511&lt;=8),113,IF(AND(L510="Vermögend und stationär",D511&gt;2,D511&lt;=4),174,IF(AND(L510="Vermögend und stationär",D511&gt;1,D511&lt;=2),196,IF(AND(L510="Vermögend und stationär",D511&gt;0,D511&lt;=1),249,IF(AND(L510="Mittellos und ambulant",D511&gt;8,D511&lt;=1000),130,IF(AND(L510="Mittellos und ambulant",D511&gt;4,D511&lt;=8),151,IF(AND(L510="Mittellos und ambulant",D511&gt;2,D511&lt;=4),188,IF(AND(L510="Mittellos und ambulant",D511&gt;1,D511&lt;=2),211,IF(AND(L510="Mittellos und ambulant",D511&gt;0,D511&lt;=1),258,IF(AND(L510="Mittellos und stationär",D511&gt;8,D511&lt;=1000),78,IF(AND(L510="Mittellos und stationär",D511&gt;4,D511&lt;=8),107,IF(AND(L510="Mittellos und stationär",D511&gt;2,D511&lt;=4),154,IF(AND(L510="Mittellos und stationär",D511&gt;1,D511&lt;=2),158,IF(AND(L510="Mittellos und stationär",D511&gt;0,D511&lt;=1),241,""))))))))))))))))))))),IF(M509="Stufe C",IF(AND(L510="Auswahl treffen",D511&gt;=0,D511&lt;=1000),J509,IF(AND(L510="Vermögend und ambulant",D511&gt;8,D511&lt;=1000),211,IF(AND(L510="Vermögend und ambulant",D511&gt;4,D511&lt;=8),257,IF(AND(L510="Vermögend und ambulant",D511&gt;2,D511&lt;=4),312,IF(AND(L510="Vermögend und ambulant",D511&gt;1,D511&lt;=2),339,IF(AND(L510="Vermögend und ambulant",D511&gt;0,D511&lt;=1),486,IF(AND(L510="Vermögend und stationär",D511&gt;8,D511&lt;=1000),127,IF(AND(L510="Vermögend und stationär",D511&gt;4,D511&lt;=8),149,IF(AND(L510="Vermögend und stationär",D511&gt;2,D511&lt;=4),229,IF(AND(L510="Vermögend und stationär",D511&gt;1,D511&lt;=2),257,IF(AND(L510="Vermögend und stationär",D511&gt;0,D511&lt;=1),327,IF(AND(L510="Mittellos und ambulant",D511&gt;8,D511&lt;=1000),171,IF(AND(L510="Mittellos und ambulant",D511&gt;4,D511&lt;=8),198,IF(AND(L510="Mittellos und ambulant",D511&gt;2,D511&lt;=4),246,IF(AND(L510="Mittellos und ambulant",D511&gt;1,D511&lt;=2),277,IF(AND(L510="Mittellos und ambulant",D511&gt;0,D511&lt;=1),339,IF(AND(L510="Mittellos und stationär",D511&gt;8,D511&lt;=1000),102,IF(AND(L510="Mittellos und stationär",D511&gt;4,D511&lt;=8),141,IF(AND(L510="Mittellos und stationär",D511&gt;2,D511&lt;=4),202,IF(AND(L510="Mittellos und stationär",D511&gt;1,D511&lt;=2),208,IF(AND(L510="Mittellos und stationär",D511&gt;0,D511&lt;=1),317,""))))))))))))))))))))),"")))*3+(J509*90)</f>
        <v>#NUM!</v>
      </c>
      <c r="M512" s="507" t="str">
        <f>CONCATENATE(K512, K511)</f>
        <v>+Inflat.-P</v>
      </c>
      <c r="N512" s="206" t="s">
        <v>118</v>
      </c>
      <c r="O512" s="207"/>
      <c r="P512" s="207"/>
      <c r="Q512" s="208"/>
      <c r="R512" s="187"/>
      <c r="S512" s="209" t="s">
        <v>118</v>
      </c>
      <c r="T512" s="201" t="s">
        <v>117</v>
      </c>
      <c r="U512" s="210" t="s">
        <v>26</v>
      </c>
      <c r="V512" s="192"/>
      <c r="W512" s="203"/>
      <c r="X512" s="203"/>
      <c r="Y512" s="210"/>
      <c r="Z512" s="192"/>
      <c r="AA512" s="203"/>
      <c r="AB512" s="203"/>
      <c r="AC512" s="210"/>
      <c r="AD512" s="192"/>
      <c r="AE512" s="203"/>
      <c r="AF512" s="203"/>
      <c r="AG512" s="210"/>
      <c r="AH512" s="193"/>
      <c r="AI512" s="203"/>
      <c r="AJ512" s="203"/>
      <c r="AK512" s="376"/>
      <c r="AL512" s="348" t="s">
        <v>148</v>
      </c>
      <c r="AM512" s="354">
        <f>IF(SUM(N510:N518)=SUM(S510:S518), 0, SUM(N510:N518)-SUM(S510:S518))</f>
        <v>0</v>
      </c>
      <c r="AN512" s="354"/>
      <c r="AO512" s="354"/>
      <c r="AP512" s="354"/>
      <c r="AQ512" s="350">
        <f>AM512+AN512+AO512+AP512</f>
        <v>0</v>
      </c>
      <c r="AR512" s="769"/>
      <c r="AS512" s="769"/>
      <c r="AT512" s="769"/>
      <c r="BM512" s="335"/>
    </row>
    <row r="513" spans="1:65" ht="22.25" customHeight="1">
      <c r="A513" s="181">
        <f t="shared" si="164"/>
        <v>45292</v>
      </c>
      <c r="B513" s="484" t="e">
        <f>MONTH(I510)</f>
        <v>#NUM!</v>
      </c>
      <c r="C513" s="489" t="s">
        <v>158</v>
      </c>
      <c r="D513" s="522" t="e">
        <f>D511+1</f>
        <v>#NUM!</v>
      </c>
      <c r="E513" s="211" t="e">
        <f>DATE(YEAR(E512),MONTH(E512),DAY(E512)+1)</f>
        <v>#NUM!</v>
      </c>
      <c r="F513" s="212" t="e">
        <f t="shared" si="181"/>
        <v>#NUM!</v>
      </c>
      <c r="G513" s="213" t="e">
        <f t="shared" si="182"/>
        <v>#NUM!</v>
      </c>
      <c r="H513" s="212" t="e">
        <f t="shared" si="183"/>
        <v>#NUM!</v>
      </c>
      <c r="I513" s="214" t="str">
        <f>IF(D510&lt;&gt;0,"-1T","")</f>
        <v/>
      </c>
      <c r="J513" s="215" t="e">
        <f>DATE($B515,I514,$B511)</f>
        <v>#NUM!</v>
      </c>
      <c r="K513" s="501" t="str">
        <f t="shared" si="168"/>
        <v/>
      </c>
      <c r="L513" s="470"/>
      <c r="M513" s="473" t="e">
        <f ca="1">SUM(J510-E514)&amp;" Tage"</f>
        <v>#NUM!</v>
      </c>
      <c r="N513" s="216"/>
      <c r="O513" s="217"/>
      <c r="P513" s="188"/>
      <c r="Q513" s="217"/>
      <c r="R513" s="189"/>
      <c r="S513" s="190"/>
      <c r="T513" s="190"/>
      <c r="U513" s="191"/>
      <c r="V513" s="192"/>
      <c r="W513" s="190"/>
      <c r="X513" s="190"/>
      <c r="Y513" s="191"/>
      <c r="Z513" s="192"/>
      <c r="AA513" s="190"/>
      <c r="AB513" s="190"/>
      <c r="AC513" s="191"/>
      <c r="AD513" s="192"/>
      <c r="AE513" s="190"/>
      <c r="AF513" s="190"/>
      <c r="AG513" s="191"/>
      <c r="AH513" s="193"/>
      <c r="AI513" s="190"/>
      <c r="AJ513" s="190"/>
      <c r="AK513" s="374"/>
      <c r="AL513" s="348"/>
      <c r="AM513" s="354"/>
      <c r="AN513" s="354"/>
      <c r="AO513" s="354"/>
      <c r="AP513" s="354"/>
      <c r="AQ513" s="350"/>
      <c r="AR513" s="769"/>
      <c r="AS513" s="769"/>
      <c r="AT513" s="769"/>
      <c r="BM513" s="335"/>
    </row>
    <row r="514" spans="1:65" ht="22.25" customHeight="1">
      <c r="A514" s="181">
        <f t="shared" si="164"/>
        <v>45292</v>
      </c>
      <c r="B514" s="485"/>
      <c r="C514" s="490"/>
      <c r="D514" s="521"/>
      <c r="E514" s="218" t="e">
        <f>DATE(YEAR(E513),MONTH(E513)+3,DAY(E513)-1)</f>
        <v>#NUM!</v>
      </c>
      <c r="F514" s="212" t="e">
        <f t="shared" si="181"/>
        <v>#NUM!</v>
      </c>
      <c r="G514" s="213" t="e">
        <f t="shared" si="182"/>
        <v>#NUM!</v>
      </c>
      <c r="H514" s="212" t="e">
        <f t="shared" si="183"/>
        <v>#NUM!</v>
      </c>
      <c r="I514" s="219">
        <f>MAX(I515:I518)</f>
        <v>9</v>
      </c>
      <c r="J514" s="220" t="e">
        <f>DATE(YEAR(J513)+1,MONTH(J513),DAY(J513))</f>
        <v>#NUM!</v>
      </c>
      <c r="K514" s="506" t="str">
        <f t="shared" si="168"/>
        <v>+Inflat.-P</v>
      </c>
      <c r="L514" s="508" t="e">
        <f>IF(M509="Stufe A",IF(AND(L510="Auswahl treffen",D513&gt;=0,D513&lt;=1000),J509,IF(AND(L510="Vermögend und ambulant",D513&gt;8,D513&lt;=1000),130,IF(AND(L510="Vermögend und ambulant",D513&gt;4,D513&lt;=8),158,IF(AND(L510="Vermögend und ambulant",D513&gt;2,D513&lt;=4),192,IF(AND(L510="Vermögend und ambulant",D513&gt;1,D513&lt;=2),208,IF(AND(L510="Vermögend und ambulant",D513&gt;0,D513&lt;=1),298,IF(AND(L510="Vermögend und stationär",D513&gt;8,D513&lt;=1000),78,IF(AND(L510="Vermögend und stationär",D513&gt;4,D513&lt;=8),91,IF(AND(L510="Vermögend und stationär",D513&gt;2,D513&lt;=4),140,IF(AND(L510="Vermögend und stationär",D513&gt;1,D513&lt;=2),158,IF(AND(L510="Vermögend und stationär",D513&gt;0,D513&lt;=1),200,IF(AND(L510="Mittellos und ambulant",D513&gt;8,D513&lt;=1000),105,IF(AND(L510="Mittellos und ambulant",D513&gt;4,D513&lt;=8),122,IF(AND(L510="Mittellos und ambulant",D513&gt;2,D513&lt;=4),151,IF(AND(L510="Mittellos und ambulant",D513&gt;1,D513&lt;=2),170,IF(AND(L510="Mittellos und ambulant",D513&gt;0,D513&lt;=1),208,IF(AND(L510="Mittellos und stationär",D513&gt;8,D513&lt;=1000),62,IF(AND(L510="Mittellos und stationär",D513&gt;4,D513&lt;=8),87,IF(AND(L510="Mittellos und stationär",D513&gt;2,D513&lt;=4),124,IF(AND(L510="Mittellos und stationär",D513&gt;1,D513&lt;=2),129,IF(AND(L510="Mittellos und stationär",D513&gt;0,D513&lt;=1),194,""))))))))))))))))))))),IF(M509="Stufe B",IF(AND(L510="Auswahl treffen",D513&gt;=0,D513&lt;=1000),J509,IF(AND(L510="Vermögend und ambulant",D513&gt;8,D513&lt;=1000),161,IF(AND(L510="Vermögend und ambulant",D513&gt;4,D513&lt;=8),196,IF(AND(L510="Vermögend und ambulant",D513&gt;2,D513&lt;=4),238,IF(AND(L510="Vermögend und ambulant",D513&gt;1,D513&lt;=2),258,IF(AND(L510="Vermögend und ambulant",D513&gt;0,D513&lt;=1),370,IF(AND(L510="Vermögend und stationär",D513&gt;8,D513&lt;=1000),96,IF(AND(L510="Vermögend und stationär",D513&gt;4,D513&lt;=8),113,IF(AND(L510="Vermögend und stationär",D513&gt;2,D513&lt;=4),174,IF(AND(L510="Vermögend und stationär",D513&gt;1,D513&lt;=2),196,IF(AND(L510="Vermögend und stationär",D513&gt;0,D513&lt;=1),249,IF(AND(L510="Mittellos und ambulant",D513&gt;8,D513&lt;=1000),130,IF(AND(L510="Mittellos und ambulant",D513&gt;4,D513&lt;=8),151,IF(AND(L510="Mittellos und ambulant",D513&gt;2,D513&lt;=4),188,IF(AND(L510="Mittellos und ambulant",D513&gt;1,D513&lt;=2),211,IF(AND(L510="Mittellos und ambulant",D513&gt;0,D513&lt;=1),258,IF(AND(L510="Mittellos und stationär",D513&gt;8,D513&lt;=1000),78,IF(AND(L510="Mittellos und stationär",D513&gt;4,D513&lt;=8),107,IF(AND(L510="Mittellos und stationär",D513&gt;2,D513&lt;=4),154,IF(AND(L510="Mittellos und stationär",D513&gt;1,D513&lt;=2),158,IF(AND(L510="Mittellos und stationär",D513&gt;0,D513&lt;=1),241,""))))))))))))))))))))),IF(M509="Stufe C",IF(AND(L510="Auswahl treffen",D513&gt;=0,D513&lt;=1000),J509,IF(AND(L510="Vermögend und ambulant",D513&gt;8,D513&lt;=1000),211,IF(AND(L510="Vermögend und ambulant",D513&gt;4,D513&lt;=8),257,IF(AND(L510="Vermögend und ambulant",D513&gt;2,D513&lt;=4),312,IF(AND(L510="Vermögend und ambulant",D513&gt;1,D513&lt;=2),339,IF(AND(L510="Vermögend und ambulant",D513&gt;0,D513&lt;=1),486,IF(AND(L510="Vermögend und stationär",D513&gt;8,D513&lt;=1000),127,IF(AND(L510="Vermögend und stationär",D513&gt;4,D513&lt;=8),149,IF(AND(L510="Vermögend und stationär",D513&gt;2,D513&lt;=4),229,IF(AND(L510="Vermögend und stationär",D513&gt;1,D513&lt;=2),257,IF(AND(L510="Vermögend und stationär",D513&gt;0,D513&lt;=1),327,IF(AND(L510="Mittellos und ambulant",D513&gt;8,D513&lt;=1000),171,IF(AND(L510="Mittellos und ambulant",D513&gt;4,D513&lt;=8),198,IF(AND(L510="Mittellos und ambulant",D513&gt;2,D513&lt;=4),246,IF(AND(L510="Mittellos und ambulant",D513&gt;1,D513&lt;=2),277,IF(AND(L510="Mittellos und ambulant",D513&gt;0,D513&lt;=1),339,IF(AND(L510="Mittellos und stationär",D513&gt;8,D513&lt;=1000),102,IF(AND(L510="Mittellos und stationär",D513&gt;4,D513&lt;=8),141,IF(AND(L510="Mittellos und stationär",D513&gt;2,D513&lt;=4),202,IF(AND(L510="Mittellos und stationär",D513&gt;1,D513&lt;=2),208,IF(AND(L510="Mittellos und stationär",D513&gt;0,D513&lt;=1),317,""))))))))))))))))))))),"")))*3+(J509*90)</f>
        <v>#NUM!</v>
      </c>
      <c r="M514" s="507" t="str">
        <f>CONCATENATE(K514, K513)</f>
        <v>+Inflat.-P</v>
      </c>
      <c r="N514" s="216"/>
      <c r="O514" s="188" t="s">
        <v>118</v>
      </c>
      <c r="P514" s="188"/>
      <c r="Q514" s="221"/>
      <c r="R514" s="199"/>
      <c r="S514" s="190"/>
      <c r="T514" s="190"/>
      <c r="U514" s="191"/>
      <c r="V514" s="192"/>
      <c r="W514" s="222" t="s">
        <v>118</v>
      </c>
      <c r="X514" s="222" t="s">
        <v>117</v>
      </c>
      <c r="Y514" s="191" t="s">
        <v>26</v>
      </c>
      <c r="Z514" s="192"/>
      <c r="AA514" s="190"/>
      <c r="AB514" s="190"/>
      <c r="AC514" s="191"/>
      <c r="AD514" s="192"/>
      <c r="AE514" s="190"/>
      <c r="AF514" s="190"/>
      <c r="AG514" s="191"/>
      <c r="AH514" s="193"/>
      <c r="AI514" s="190"/>
      <c r="AJ514" s="190"/>
      <c r="AK514" s="374"/>
      <c r="AL514" s="348" t="s">
        <v>149</v>
      </c>
      <c r="AM514" s="354"/>
      <c r="AN514" s="354">
        <f>IF(SUM(O510:O518)=SUM(W510:W518), 0, SUM(O510:O518)-SUM(W510:W518))</f>
        <v>0</v>
      </c>
      <c r="AO514" s="354"/>
      <c r="AP514" s="354"/>
      <c r="AQ514" s="350">
        <f>AM514+AN514+AO514+AP514</f>
        <v>0</v>
      </c>
      <c r="AR514" s="769"/>
      <c r="AS514" s="769"/>
      <c r="AT514" s="769"/>
      <c r="BM514" s="335"/>
    </row>
    <row r="515" spans="1:65" ht="22.25" customHeight="1">
      <c r="A515" s="181">
        <f t="shared" si="164"/>
        <v>45292</v>
      </c>
      <c r="B515" s="484">
        <f>YEAR($A516)-1</f>
        <v>2023</v>
      </c>
      <c r="C515" s="489" t="s">
        <v>158</v>
      </c>
      <c r="D515" s="520" t="e">
        <f>D513+1</f>
        <v>#NUM!</v>
      </c>
      <c r="E515" s="194" t="e">
        <f>DATE(YEAR(E514),MONTH(E514),DAY(E514)+1)</f>
        <v>#NUM!</v>
      </c>
      <c r="F515" s="195" t="e">
        <f t="shared" si="181"/>
        <v>#NUM!</v>
      </c>
      <c r="G515" s="196" t="e">
        <f t="shared" si="182"/>
        <v>#NUM!</v>
      </c>
      <c r="H515" s="195" t="e">
        <f t="shared" si="183"/>
        <v>#NUM!</v>
      </c>
      <c r="I515" s="197">
        <f>IF(J517&lt;13,J517,"")</f>
        <v>9</v>
      </c>
      <c r="J515" s="224">
        <f>G510</f>
        <v>0</v>
      </c>
      <c r="K515" s="501" t="str">
        <f t="shared" si="168"/>
        <v/>
      </c>
      <c r="L515" s="471"/>
      <c r="M515" s="473" t="e">
        <f ca="1">SUM(J510-E516)&amp;" Tage"</f>
        <v>#NUM!</v>
      </c>
      <c r="N515" s="200"/>
      <c r="O515" s="201"/>
      <c r="P515" s="201"/>
      <c r="Q515" s="202"/>
      <c r="R515" s="189"/>
      <c r="S515" s="203"/>
      <c r="T515" s="203"/>
      <c r="U515" s="204"/>
      <c r="V515" s="192"/>
      <c r="W515" s="203"/>
      <c r="X515" s="203"/>
      <c r="Y515" s="204"/>
      <c r="Z515" s="192"/>
      <c r="AA515" s="203"/>
      <c r="AB515" s="203"/>
      <c r="AC515" s="204"/>
      <c r="AD515" s="192"/>
      <c r="AE515" s="203"/>
      <c r="AF515" s="203"/>
      <c r="AG515" s="204"/>
      <c r="AH515" s="193"/>
      <c r="AI515" s="203"/>
      <c r="AJ515" s="203"/>
      <c r="AK515" s="375"/>
      <c r="AL515" s="348"/>
      <c r="AM515" s="354"/>
      <c r="AN515" s="354"/>
      <c r="AO515" s="354"/>
      <c r="AP515" s="354"/>
      <c r="AQ515" s="350"/>
      <c r="AR515" s="769"/>
      <c r="AS515" s="769"/>
      <c r="AT515" s="769"/>
      <c r="BM515" s="335"/>
    </row>
    <row r="516" spans="1:65" ht="22.25" customHeight="1">
      <c r="A516" s="181">
        <f t="shared" si="164"/>
        <v>45292</v>
      </c>
      <c r="B516" s="485"/>
      <c r="C516" s="490"/>
      <c r="D516" s="521"/>
      <c r="E516" s="194" t="e">
        <f>DATE(YEAR(E515),MONTH(E515)+3,DAY(E515)-1)</f>
        <v>#NUM!</v>
      </c>
      <c r="F516" s="195" t="e">
        <f t="shared" si="181"/>
        <v>#NUM!</v>
      </c>
      <c r="G516" s="196" t="e">
        <f t="shared" si="182"/>
        <v>#NUM!</v>
      </c>
      <c r="H516" s="195" t="e">
        <f t="shared" si="183"/>
        <v>#NUM!</v>
      </c>
      <c r="I516" s="244">
        <f>IF(J518&lt;13,J518,"")</f>
        <v>6</v>
      </c>
      <c r="J516" s="224">
        <f>J515+3</f>
        <v>3</v>
      </c>
      <c r="K516" s="501" t="str">
        <f t="shared" si="168"/>
        <v>+Inflat.-P</v>
      </c>
      <c r="L516" s="511" t="e">
        <f>IF(M509="Stufe A",IF(AND(L510="Auswahl treffen",D515&gt;=0,D515&lt;=1000),J509,IF(AND(L510="Vermögend und ambulant",D515&gt;8,D515&lt;=1000),130,IF(AND(L510="Vermögend und ambulant",D515&gt;4,D515&lt;=8),158,IF(AND(L510="Vermögend und ambulant",D515&gt;2,D515&lt;=4),192,IF(AND(L510="Vermögend und ambulant",D515&gt;1,D515&lt;=2),208,IF(AND(L510="Vermögend und ambulant",D515&gt;0,D515&lt;=1),298,IF(AND(L510="Vermögend und stationär",D515&gt;8,D515&lt;=1000),78,IF(AND(L510="Vermögend und stationär",D515&gt;4,D515&lt;=8),91,IF(AND(L510="Vermögend und stationär",D515&gt;2,D515&lt;=4),140,IF(AND(L510="Vermögend und stationär",D515&gt;1,D515&lt;=2),158,IF(AND(L510="Vermögend und stationär",D515&gt;0,D515&lt;=1),200,IF(AND(L510="Mittellos und ambulant",D515&gt;8,D515&lt;=1000),105,IF(AND(L510="Mittellos und ambulant",D515&gt;4,D515&lt;=8),122,IF(AND(L510="Mittellos und ambulant",D515&gt;2,D515&lt;=4),151,IF(AND(L510="Mittellos und ambulant",D515&gt;1,D515&lt;=2),170,IF(AND(L510="Mittellos und ambulant",D515&gt;0,D515&lt;=1),208,IF(AND(L510="Mittellos und stationär",D515&gt;8,D515&lt;=1000),62,IF(AND(L510="Mittellos und stationär",D515&gt;4,D515&lt;=8),87,IF(AND(L510="Mittellos und stationär",D515&gt;2,D515&lt;=4),124,IF(AND(L510="Mittellos und stationär",D515&gt;1,D515&lt;=2),129,IF(AND(L510="Mittellos und stationär",D515&gt;0,D515&lt;=1),194,""))))))))))))))))))))),IF(M509="Stufe B",IF(AND(L510="Auswahl treffen",D515&gt;=0,D515&lt;=1000),J509,IF(AND(L510="Vermögend und ambulant",D515&gt;8,D515&lt;=1000),161,IF(AND(L510="Vermögend und ambulant",D515&gt;4,D515&lt;=8),196,IF(AND(L510="Vermögend und ambulant",D515&gt;2,D515&lt;=4),238,IF(AND(L510="Vermögend und ambulant",D515&gt;1,D515&lt;=2),258,IF(AND(L510="Vermögend und ambulant",D515&gt;0,D515&lt;=1),370,IF(AND(L510="Vermögend und stationär",D515&gt;8,D515&lt;=1000),96,IF(AND(L510="Vermögend und stationär",D515&gt;4,D515&lt;=8),113,IF(AND(L510="Vermögend und stationär",D515&gt;2,D515&lt;=4),174,IF(AND(L510="Vermögend und stationär",D515&gt;1,D515&lt;=2),196,IF(AND(L510="Vermögend und stationär",D515&gt;0,D515&lt;=1),249,IF(AND(L510="Mittellos und ambulant",D515&gt;8,D515&lt;=1000),130,IF(AND(L510="Mittellos und ambulant",D515&gt;4,D515&lt;=8),151,IF(AND(L510="Mittellos und ambulant",D515&gt;2,D515&lt;=4),188,IF(AND(L510="Mittellos und ambulant",D515&gt;1,D515&lt;=2),211,IF(AND(L510="Mittellos und ambulant",D515&gt;0,D515&lt;=1),258,IF(AND(L510="Mittellos und stationär",D515&gt;8,D515&lt;=1000),78,IF(AND(L510="Mittellos und stationär",D515&gt;4,D515&lt;=8),107,IF(AND(L510="Mittellos und stationär",D515&gt;2,D515&lt;=4),154,IF(AND(L510="Mittellos und stationär",D515&gt;1,D515&lt;=2),158,IF(AND(L510="Mittellos und stationär",D515&gt;0,D515&lt;=1),241,""))))))))))))))))))))),IF(M509="Stufe C",IF(AND(L510="Auswahl treffen",D515&gt;=0,D515&lt;=1000),J509,IF(AND(L510="Vermögend und ambulant",D515&gt;8,D515&lt;=1000),211,IF(AND(L510="Vermögend und ambulant",D515&gt;4,D515&lt;=8),257,IF(AND(L510="Vermögend und ambulant",D515&gt;2,D515&lt;=4),312,IF(AND(L510="Vermögend und ambulant",D515&gt;1,D515&lt;=2),339,IF(AND(L510="Vermögend und ambulant",D515&gt;0,D515&lt;=1),486,IF(AND(L510="Vermögend und stationär",D515&gt;8,D515&lt;=1000),127,IF(AND(L510="Vermögend und stationär",D515&gt;4,D515&lt;=8),149,IF(AND(L510="Vermögend und stationär",D515&gt;2,D515&lt;=4),229,IF(AND(L510="Vermögend und stationär",D515&gt;1,D515&lt;=2),257,IF(AND(L510="Vermögend und stationär",D515&gt;0,D515&lt;=1),327,IF(AND(L510="Mittellos und ambulant",D515&gt;8,D515&lt;=1000),171,IF(AND(L510="Mittellos und ambulant",D515&gt;4,D515&lt;=8),198,IF(AND(L510="Mittellos und ambulant",D515&gt;2,D515&lt;=4),246,IF(AND(L510="Mittellos und ambulant",D515&gt;1,D515&lt;=2),277,IF(AND(L510="Mittellos und ambulant",D515&gt;0,D515&lt;=1),339,IF(AND(L510="Mittellos und stationär",D515&gt;8,D515&lt;=1000),102,IF(AND(L510="Mittellos und stationär",D515&gt;4,D515&lt;=8),141,IF(AND(L510="Mittellos und stationär",D515&gt;2,D515&lt;=4),202,IF(AND(L510="Mittellos und stationär",D515&gt;1,D515&lt;=2),208,IF(AND(L510="Mittellos und stationär",D515&gt;0,D515&lt;=1),317,""))))))))))))))))))))),"")))*3+(J509*90)</f>
        <v>#NUM!</v>
      </c>
      <c r="M516" s="507" t="str">
        <f>CONCATENATE(K516, K515)</f>
        <v>+Inflat.-P</v>
      </c>
      <c r="N516" s="206"/>
      <c r="O516" s="207"/>
      <c r="P516" s="206" t="s">
        <v>118</v>
      </c>
      <c r="Q516" s="226"/>
      <c r="R516" s="189"/>
      <c r="S516" s="203"/>
      <c r="T516" s="203"/>
      <c r="U516" s="204"/>
      <c r="V516" s="192"/>
      <c r="W516" s="203"/>
      <c r="X516" s="203"/>
      <c r="Y516" s="204"/>
      <c r="Z516" s="192"/>
      <c r="AA516" s="209" t="s">
        <v>118</v>
      </c>
      <c r="AB516" s="209" t="s">
        <v>117</v>
      </c>
      <c r="AC516" s="204" t="s">
        <v>26</v>
      </c>
      <c r="AD516" s="192"/>
      <c r="AE516" s="203"/>
      <c r="AF516" s="203"/>
      <c r="AG516" s="204"/>
      <c r="AH516" s="193"/>
      <c r="AI516" s="203"/>
      <c r="AJ516" s="203"/>
      <c r="AK516" s="375"/>
      <c r="AL516" s="348" t="s">
        <v>150</v>
      </c>
      <c r="AM516" s="354"/>
      <c r="AN516" s="354"/>
      <c r="AO516" s="354">
        <f>IF(SUM(P510:P518)=SUM(AA510:AA518), 0, SUM(P510:P518)-SUM(AA510:AA518))</f>
        <v>0</v>
      </c>
      <c r="AP516" s="354"/>
      <c r="AQ516" s="350">
        <f>AM516+AN516+AO516+AP516</f>
        <v>0</v>
      </c>
      <c r="AR516" s="769"/>
      <c r="AS516" s="769"/>
      <c r="AT516" s="769"/>
      <c r="BM516" s="335"/>
    </row>
    <row r="517" spans="1:65" ht="22.25" customHeight="1">
      <c r="A517" s="181">
        <f t="shared" si="164"/>
        <v>45292</v>
      </c>
      <c r="B517" s="486"/>
      <c r="C517" s="489" t="s">
        <v>158</v>
      </c>
      <c r="D517" s="522" t="e">
        <f>D515+1</f>
        <v>#NUM!</v>
      </c>
      <c r="E517" s="211" t="e">
        <f>DATE(YEAR(E516),MONTH(E516),DAY(E516)+1)</f>
        <v>#NUM!</v>
      </c>
      <c r="F517" s="227" t="e">
        <f t="shared" si="181"/>
        <v>#NUM!</v>
      </c>
      <c r="G517" s="228" t="e">
        <f t="shared" si="182"/>
        <v>#NUM!</v>
      </c>
      <c r="H517" s="227" t="e">
        <f t="shared" si="183"/>
        <v>#NUM!</v>
      </c>
      <c r="I517" s="231">
        <f>IF(J516&lt;13,J516,"")</f>
        <v>3</v>
      </c>
      <c r="J517" s="230">
        <f>J518+3</f>
        <v>9</v>
      </c>
      <c r="K517" s="506" t="str">
        <f t="shared" si="168"/>
        <v/>
      </c>
      <c r="L517" s="471"/>
      <c r="M517" s="473" t="e">
        <f ca="1">SUM(J510-E518)&amp;" Tage"</f>
        <v>#NUM!</v>
      </c>
      <c r="N517" s="216"/>
      <c r="O517" s="188"/>
      <c r="P517" s="188"/>
      <c r="Q517" s="217"/>
      <c r="R517" s="189"/>
      <c r="S517" s="190"/>
      <c r="T517" s="190"/>
      <c r="U517" s="191"/>
      <c r="V517" s="192"/>
      <c r="W517" s="190"/>
      <c r="X517" s="190"/>
      <c r="Y517" s="191"/>
      <c r="Z517" s="192"/>
      <c r="AA517" s="190"/>
      <c r="AB517" s="190"/>
      <c r="AC517" s="191"/>
      <c r="AD517" s="192"/>
      <c r="AE517" s="190"/>
      <c r="AF517" s="190"/>
      <c r="AG517" s="191"/>
      <c r="AH517" s="193"/>
      <c r="AI517" s="190"/>
      <c r="AJ517" s="190"/>
      <c r="AK517" s="374"/>
      <c r="AL517" s="348"/>
      <c r="AM517" s="354"/>
      <c r="AN517" s="354"/>
      <c r="AO517" s="354"/>
      <c r="AP517" s="354"/>
      <c r="AQ517" s="350"/>
      <c r="AR517" s="769"/>
      <c r="AS517" s="769"/>
      <c r="AT517" s="769"/>
      <c r="BM517" s="335"/>
    </row>
    <row r="518" spans="1:65" ht="22.25" customHeight="1">
      <c r="A518" s="181">
        <f t="shared" si="164"/>
        <v>45292</v>
      </c>
      <c r="B518" s="485"/>
      <c r="C518" s="490"/>
      <c r="D518" s="521"/>
      <c r="E518" s="218" t="e">
        <f>DATE(YEAR(E517),MONTH(E517)+3,DAY(E517)-1)</f>
        <v>#NUM!</v>
      </c>
      <c r="F518" s="227" t="e">
        <f t="shared" si="181"/>
        <v>#NUM!</v>
      </c>
      <c r="G518" s="228" t="e">
        <f t="shared" si="182"/>
        <v>#NUM!</v>
      </c>
      <c r="H518" s="227" t="e">
        <f t="shared" si="183"/>
        <v>#NUM!</v>
      </c>
      <c r="I518" s="231">
        <f>IF(J515&lt;13,J515,"")</f>
        <v>0</v>
      </c>
      <c r="J518" s="230">
        <f>J516+3</f>
        <v>6</v>
      </c>
      <c r="K518" s="501" t="str">
        <f t="shared" si="168"/>
        <v>+Inflat.-P</v>
      </c>
      <c r="L518" s="508" t="e">
        <f>IF(M509="Stufe A",IF(AND(L510="Auswahl treffen",D517&gt;=0,D517&lt;=1000),J509,IF(AND(L510="Vermögend und ambulant",D517&gt;8,D517&lt;=1000),130,IF(AND(L510="Vermögend und ambulant",D517&gt;4,D517&lt;=8),158,IF(AND(L510="Vermögend und ambulant",D517&gt;2,D517&lt;=4),192,IF(AND(L510="Vermögend und ambulant",D517&gt;1,D517&lt;=2),208,IF(AND(L510="Vermögend und ambulant",D517&gt;0,D517&lt;=1),298,IF(AND(L510="Vermögend und stationär",D517&gt;8,D517&lt;=1000),78,IF(AND(L510="Vermögend und stationär",D517&gt;4,D517&lt;=8),91,IF(AND(L510="Vermögend und stationär",D517&gt;2,D517&lt;=4),140,IF(AND(L510="Vermögend und stationär",D517&gt;1,D517&lt;=2),158,IF(AND(L510="Vermögend und stationär",D517&gt;0,D517&lt;=1),200,IF(AND(L510="Mittellos und ambulant",D517&gt;8,D517&lt;=1000),105,IF(AND(L510="Mittellos und ambulant",D517&gt;4,D517&lt;=8),122,IF(AND(L510="Mittellos und ambulant",D517&gt;2,D517&lt;=4),151,IF(AND(L510="Mittellos und ambulant",D517&gt;1,D517&lt;=2),170,IF(AND(L510="Mittellos und ambulant",D517&gt;0,D517&lt;=1),208,IF(AND(L510="Mittellos und stationär",D517&gt;8,D517&lt;=1000),62,IF(AND(L510="Mittellos und stationär",D517&gt;4,D517&lt;=8),87,IF(AND(L510="Mittellos und stationär",D517&gt;2,D517&lt;=4),124,IF(AND(L510="Mittellos und stationär",D517&gt;1,D517&lt;=2),129,IF(AND(L510="Mittellos und stationär",D517&gt;0,D517&lt;=1),194,""))))))))))))))))))))),IF(M509="Stufe B",IF(AND(L510="Auswahl treffen",D517&gt;=0,D517&lt;=1000),J509,IF(AND(L510="Vermögend und ambulant",D517&gt;8,D517&lt;=1000),161,IF(AND(L510="Vermögend und ambulant",D517&gt;4,D517&lt;=8),196,IF(AND(L510="Vermögend und ambulant",D517&gt;2,D517&lt;=4),238,IF(AND(L510="Vermögend und ambulant",D517&gt;1,D517&lt;=2),258,IF(AND(L510="Vermögend und ambulant",D517&gt;0,D517&lt;=1),370,IF(AND(L510="Vermögend und stationär",D517&gt;8,D517&lt;=1000),96,IF(AND(L510="Vermögend und stationär",D517&gt;4,D517&lt;=8),113,IF(AND(L510="Vermögend und stationär",D517&gt;2,D517&lt;=4),174,IF(AND(L510="Vermögend und stationär",D517&gt;1,D517&lt;=2),196,IF(AND(L510="Vermögend und stationär",D517&gt;0,D517&lt;=1),249,IF(AND(L510="Mittellos und ambulant",D517&gt;8,D517&lt;=1000),130,IF(AND(L510="Mittellos und ambulant",D517&gt;4,D517&lt;=8),151,IF(AND(L510="Mittellos und ambulant",D517&gt;2,D517&lt;=4),188,IF(AND(L510="Mittellos und ambulant",D517&gt;1,D517&lt;=2),211,IF(AND(L510="Mittellos und ambulant",D517&gt;0,D517&lt;=1),258,IF(AND(L510="Mittellos und stationär",D517&gt;8,D517&lt;=1000),78,IF(AND(L510="Mittellos und stationär",D517&gt;4,D517&lt;=8),107,IF(AND(L510="Mittellos und stationär",D517&gt;2,D517&lt;=4),154,IF(AND(L510="Mittellos und stationär",D517&gt;1,D517&lt;=2),158,IF(AND(L510="Mittellos und stationär",D517&gt;0,D517&lt;=1),241,""))))))))))))))))))))),IF(M509="Stufe C",IF(AND(L510="Auswahl treffen",D517&gt;=0,D517&lt;=1000),J509,IF(AND(L510="Vermögend und ambulant",D517&gt;8,D517&lt;=1000),211,IF(AND(L510="Vermögend und ambulant",D517&gt;4,D517&lt;=8),257,IF(AND(L510="Vermögend und ambulant",D517&gt;2,D517&lt;=4),312,IF(AND(L510="Vermögend und ambulant",D517&gt;1,D517&lt;=2),339,IF(AND(L510="Vermögend und ambulant",D517&gt;0,D517&lt;=1),486,IF(AND(L510="Vermögend und stationär",D517&gt;8,D517&lt;=1000),127,IF(AND(L510="Vermögend und stationär",D517&gt;4,D517&lt;=8),149,IF(AND(L510="Vermögend und stationär",D517&gt;2,D517&lt;=4),229,IF(AND(L510="Vermögend und stationär",D517&gt;1,D517&lt;=2),257,IF(AND(L510="Vermögend und stationär",D517&gt;0,D517&lt;=1),327,IF(AND(L510="Mittellos und ambulant",D517&gt;8,D517&lt;=1000),171,IF(AND(L510="Mittellos und ambulant",D517&gt;4,D517&lt;=8),198,IF(AND(L510="Mittellos und ambulant",D517&gt;2,D517&lt;=4),246,IF(AND(L510="Mittellos und ambulant",D517&gt;1,D517&lt;=2),277,IF(AND(L510="Mittellos und ambulant",D517&gt;0,D517&lt;=1),339,IF(AND(L510="Mittellos und stationär",D517&gt;8,D517&lt;=1000),102,IF(AND(L510="Mittellos und stationär",D517&gt;4,D517&lt;=8),141,IF(AND(L510="Mittellos und stationär",D517&gt;2,D517&lt;=4),202,IF(AND(L510="Mittellos und stationär",D517&gt;1,D517&lt;=2),208,IF(AND(L510="Mittellos und stationär",D517&gt;0,D517&lt;=1),317,""))))))))))))))))))))),"")))*3+(J509*90)</f>
        <v>#NUM!</v>
      </c>
      <c r="M518" s="507" t="str">
        <f>CONCATENATE(K518, K517)</f>
        <v>+Inflat.-P</v>
      </c>
      <c r="N518" s="216"/>
      <c r="O518" s="188"/>
      <c r="P518" s="188"/>
      <c r="Q518" s="217" t="s">
        <v>118</v>
      </c>
      <c r="R518" s="189"/>
      <c r="S518" s="190"/>
      <c r="T518" s="190"/>
      <c r="U518" s="191"/>
      <c r="V518" s="192"/>
      <c r="W518" s="190"/>
      <c r="X518" s="190"/>
      <c r="Y518" s="191"/>
      <c r="Z518" s="192"/>
      <c r="AA518" s="190"/>
      <c r="AB518" s="190"/>
      <c r="AC518" s="191"/>
      <c r="AD518" s="192"/>
      <c r="AE518" s="190" t="s">
        <v>118</v>
      </c>
      <c r="AF518" s="190" t="s">
        <v>117</v>
      </c>
      <c r="AG518" s="191" t="s">
        <v>26</v>
      </c>
      <c r="AH518" s="193"/>
      <c r="AI518" s="190" t="s">
        <v>118</v>
      </c>
      <c r="AJ518" s="190" t="s">
        <v>117</v>
      </c>
      <c r="AK518" s="374" t="s">
        <v>26</v>
      </c>
      <c r="AL518" s="348" t="s">
        <v>151</v>
      </c>
      <c r="AM518" s="354"/>
      <c r="AN518" s="354"/>
      <c r="AO518" s="354"/>
      <c r="AP518" s="354">
        <f>IF(SUM(Q510:Q518)=SUM(AE510:AE518,AI510:AI518), 0, SUM(Q510:Q518)-SUM(AE510:AE518,AI510:AI518))</f>
        <v>0</v>
      </c>
      <c r="AQ518" s="350">
        <f>AM518+AN518+AO518+AP518</f>
        <v>0</v>
      </c>
      <c r="AR518" s="769"/>
      <c r="AS518" s="769"/>
      <c r="AT518" s="769"/>
      <c r="BM518" s="335"/>
    </row>
    <row r="519" spans="1:65" ht="22" customHeight="1">
      <c r="A519" s="181">
        <f t="shared" si="164"/>
        <v>45292</v>
      </c>
      <c r="B519" s="232" t="s">
        <v>74</v>
      </c>
      <c r="C519" s="233" t="s">
        <v>75</v>
      </c>
      <c r="D519" s="234" t="s">
        <v>76</v>
      </c>
      <c r="E519" s="235" t="s">
        <v>11</v>
      </c>
      <c r="F519" s="235" t="s">
        <v>4</v>
      </c>
      <c r="G519" s="235" t="s">
        <v>5</v>
      </c>
      <c r="H519" s="235" t="s">
        <v>6</v>
      </c>
      <c r="I519" s="236" t="s">
        <v>77</v>
      </c>
      <c r="J519" s="306"/>
      <c r="K519" s="506" t="str">
        <f t="shared" si="168"/>
        <v/>
      </c>
      <c r="L519" s="306" t="str">
        <f>IFERROR(VLOOKUP(B520,'Aktuelle Einnahmen'!A2:J104,10,0),"")</f>
        <v/>
      </c>
      <c r="M519" s="510" t="str">
        <f>M509</f>
        <v>Stufe C</v>
      </c>
      <c r="N519" s="237"/>
      <c r="O519" s="238"/>
      <c r="P519" s="238"/>
      <c r="Q519" s="239"/>
      <c r="R519" s="240"/>
      <c r="S519" s="241"/>
      <c r="T519" s="241"/>
      <c r="U519" s="242"/>
      <c r="V519" s="243"/>
      <c r="W519" s="241"/>
      <c r="X519" s="241"/>
      <c r="Y519" s="242"/>
      <c r="Z519" s="243"/>
      <c r="AA519" s="241"/>
      <c r="AB519" s="241"/>
      <c r="AC519" s="242"/>
      <c r="AD519" s="243"/>
      <c r="AE519" s="241"/>
      <c r="AF519" s="241"/>
      <c r="AG519" s="242"/>
      <c r="AH519" s="240"/>
      <c r="AI519" s="241"/>
      <c r="AJ519" s="241"/>
      <c r="AK519" s="377"/>
      <c r="AL519" s="347"/>
      <c r="AM519" s="353"/>
      <c r="AN519" s="353"/>
      <c r="AO519" s="353"/>
      <c r="AP519" s="353"/>
      <c r="AQ519" s="349"/>
      <c r="AR519" s="768"/>
      <c r="AS519" s="768"/>
      <c r="AT519" s="768"/>
      <c r="BM519" s="335"/>
    </row>
    <row r="520" spans="1:65" ht="23" customHeight="1">
      <c r="A520" s="181">
        <f t="shared" si="164"/>
        <v>45292</v>
      </c>
      <c r="B520" s="182">
        <v>52</v>
      </c>
      <c r="C520" s="245">
        <f>IFERROR(VLOOKUP($B520,'Aktuelle Einnahmen'!A2:G104,3,0),"")</f>
        <v>0</v>
      </c>
      <c r="D520" s="246">
        <f>IFERROR(VLOOKUP($B520,'Aktuelle Einnahmen'!A2:G104,2,0),"")</f>
        <v>0</v>
      </c>
      <c r="E520" s="247">
        <f>IFERROR(VLOOKUP($B520,'Aktuelle Einnahmen'!A2:G104,4,0),"")</f>
        <v>0</v>
      </c>
      <c r="F520" s="94">
        <f>IFERROR(VLOOKUP($B520,'Aktuelle Einnahmen'!A2:G104,5,0),"")</f>
        <v>0</v>
      </c>
      <c r="G520" s="94">
        <f>IFERROR(VLOOKUP($B520,'Aktuelle Einnahmen'!A2:G104,6,0),"")</f>
        <v>0</v>
      </c>
      <c r="H520" s="94">
        <f>IFERROR(VLOOKUP($B520,'Aktuelle Einnahmen'!A2:G104,7,0),"")</f>
        <v>0</v>
      </c>
      <c r="I520" s="186" t="e">
        <f>DATE(H520,G520,F520)</f>
        <v>#NUM!</v>
      </c>
      <c r="J520" s="472">
        <f ca="1">J510</f>
        <v>45475</v>
      </c>
      <c r="K520" s="501" t="str">
        <f t="shared" si="168"/>
        <v>+Inflat.-P</v>
      </c>
      <c r="L520" s="1262" t="str">
        <f>IFERROR(VLOOKUP(B520,'Aktuelle Einnahmen'!A22:I124,9,0),"")</f>
        <v>Auswahl treffen</v>
      </c>
      <c r="M520" s="1263"/>
      <c r="N520" s="261"/>
      <c r="O520" s="261"/>
      <c r="P520" s="261"/>
      <c r="Q520" s="261"/>
      <c r="R520" s="189"/>
      <c r="S520" s="190"/>
      <c r="T520" s="190"/>
      <c r="U520" s="191"/>
      <c r="V520" s="192"/>
      <c r="W520" s="190"/>
      <c r="X520" s="190"/>
      <c r="Y520" s="191"/>
      <c r="Z520" s="192"/>
      <c r="AA520" s="190"/>
      <c r="AB520" s="190"/>
      <c r="AC520" s="191"/>
      <c r="AD520" s="192"/>
      <c r="AE520" s="190"/>
      <c r="AF520" s="190"/>
      <c r="AG520" s="191"/>
      <c r="AH520" s="193"/>
      <c r="AI520" s="190"/>
      <c r="AJ520" s="190"/>
      <c r="AK520" s="374"/>
      <c r="AL520" s="348"/>
      <c r="AM520" s="354"/>
      <c r="AN520" s="354"/>
      <c r="AO520" s="354"/>
      <c r="AP520" s="354"/>
      <c r="AQ520" s="350"/>
      <c r="AR520" s="769"/>
      <c r="AS520" s="769"/>
      <c r="AT520" s="769"/>
      <c r="BM520" s="335"/>
    </row>
    <row r="521" spans="1:65" ht="22.25" customHeight="1">
      <c r="A521" s="181">
        <f t="shared" ref="A521:A584" si="184">$A520</f>
        <v>45292</v>
      </c>
      <c r="B521" s="484" t="e">
        <f>DAY(I520)</f>
        <v>#NUM!</v>
      </c>
      <c r="C521" s="489" t="s">
        <v>158</v>
      </c>
      <c r="D521" s="520" t="e">
        <f>(I521*4)+J521/3+1</f>
        <v>#NUM!</v>
      </c>
      <c r="E521" s="194" t="e">
        <f>J523+1</f>
        <v>#NUM!</v>
      </c>
      <c r="F521" s="195" t="e">
        <f t="shared" ref="F521:F528" si="185">DAY(E521)</f>
        <v>#NUM!</v>
      </c>
      <c r="G521" s="196" t="e">
        <f t="shared" ref="G521:G528" si="186">MONTH(E521)</f>
        <v>#NUM!</v>
      </c>
      <c r="H521" s="195" t="e">
        <f t="shared" ref="H521:H528" si="187">YEAR(E521)</f>
        <v>#NUM!</v>
      </c>
      <c r="I521" s="197" t="e">
        <f>H521-(H520+2000)</f>
        <v>#NUM!</v>
      </c>
      <c r="J521" s="198" t="e">
        <f>G521-G520</f>
        <v>#NUM!</v>
      </c>
      <c r="K521" s="506" t="str">
        <f>L519</f>
        <v/>
      </c>
      <c r="L521" s="469"/>
      <c r="M521" s="473" t="e">
        <f ca="1">SUM(J520-E522)&amp;" Tage"</f>
        <v>#NUM!</v>
      </c>
      <c r="N521" s="206"/>
      <c r="O521" s="201"/>
      <c r="P521" s="201"/>
      <c r="Q521" s="202"/>
      <c r="R521" s="189"/>
      <c r="S521" s="203"/>
      <c r="T521" s="203"/>
      <c r="U521" s="204"/>
      <c r="V521" s="192"/>
      <c r="W521" s="203"/>
      <c r="X521" s="203"/>
      <c r="Y521" s="204"/>
      <c r="Z521" s="192"/>
      <c r="AA521" s="203"/>
      <c r="AB521" s="203"/>
      <c r="AC521" s="204"/>
      <c r="AD521" s="192"/>
      <c r="AE521" s="203"/>
      <c r="AF521" s="203"/>
      <c r="AG521" s="204"/>
      <c r="AH521" s="193"/>
      <c r="AI521" s="203"/>
      <c r="AJ521" s="203"/>
      <c r="AK521" s="375"/>
      <c r="AL521" s="348"/>
      <c r="AM521" s="354"/>
      <c r="AN521" s="354"/>
      <c r="AO521" s="354"/>
      <c r="AP521" s="354"/>
      <c r="AQ521" s="350"/>
      <c r="AR521" s="769"/>
      <c r="AS521" s="769"/>
      <c r="AT521" s="769"/>
      <c r="BM521" s="335"/>
    </row>
    <row r="522" spans="1:65" ht="22.25" customHeight="1">
      <c r="A522" s="181">
        <f t="shared" si="184"/>
        <v>45292</v>
      </c>
      <c r="B522" s="485"/>
      <c r="C522" s="490"/>
      <c r="D522" s="521"/>
      <c r="E522" s="194" t="e">
        <f>DATE(YEAR(E521),MONTH(E521)+3,DAY(E521)-1)</f>
        <v>#NUM!</v>
      </c>
      <c r="F522" s="195" t="e">
        <f t="shared" si="185"/>
        <v>#NUM!</v>
      </c>
      <c r="G522" s="196" t="e">
        <f t="shared" si="186"/>
        <v>#NUM!</v>
      </c>
      <c r="H522" s="195" t="e">
        <f t="shared" si="187"/>
        <v>#NUM!</v>
      </c>
      <c r="I522" s="244">
        <v>-1</v>
      </c>
      <c r="J522" s="198" t="e">
        <f>F521-F520</f>
        <v>#NUM!</v>
      </c>
      <c r="K522" s="501" t="str">
        <f t="shared" si="168"/>
        <v>+Inflat.-P</v>
      </c>
      <c r="L522" s="511" t="e">
        <f>IF(M519="Stufe A",IF(AND(L520="Auswahl treffen",D521&gt;=0,D521&lt;=1000),J519,IF(AND(L520="Vermögend und ambulant",D521&gt;8,D521&lt;=1000),130,IF(AND(L520="Vermögend und ambulant",D521&gt;4,D521&lt;=8),158,IF(AND(L520="Vermögend und ambulant",D521&gt;2,D521&lt;=4),192,IF(AND(L520="Vermögend und ambulant",D521&gt;1,D521&lt;=2),208,IF(AND(L520="Vermögend und ambulant",D521&gt;0,D521&lt;=1),298,IF(AND(L520="Vermögend und stationär",D521&gt;8,D521&lt;=1000),78,IF(AND(L520="Vermögend und stationär",D521&gt;4,D521&lt;=8),91,IF(AND(L520="Vermögend und stationär",D521&gt;2,D521&lt;=4),140,IF(AND(L520="Vermögend und stationär",D521&gt;1,D521&lt;=2),158,IF(AND(L520="Vermögend und stationär",D521&gt;0,D521&lt;=1),200,IF(AND(L520="Mittellos und ambulant",D521&gt;8,D521&lt;=1000),105,IF(AND(L520="Mittellos und ambulant",D521&gt;4,D521&lt;=8),122,IF(AND(L520="Mittellos und ambulant",D521&gt;2,D521&lt;=4),151,IF(AND(L520="Mittellos und ambulant",D521&gt;1,D521&lt;=2),170,IF(AND(L520="Mittellos und ambulant",D521&gt;0,D521&lt;=1),208,IF(AND(L520="Mittellos und stationär",D521&gt;8,D521&lt;=1000),62,IF(AND(L520="Mittellos und stationär",D521&gt;4,D521&lt;=8),87,IF(AND(L520="Mittellos und stationär",D521&gt;2,D521&lt;=4),124,IF(AND(L520="Mittellos und stationär",D521&gt;1,D521&lt;=2),129,IF(AND(L520="Mittellos und stationär",D521&gt;0,D521&lt;=1),194,""))))))))))))))))))))),IF(M519="Stufe B",IF(AND(L520="Auswahl treffen",D521&gt;=0,D521&lt;=1000),J519,IF(AND(L520="Vermögend und ambulant",D521&gt;8,D521&lt;=1000),161,IF(AND(L520="Vermögend und ambulant",D521&gt;4,D521&lt;=8),196,IF(AND(L520="Vermögend und ambulant",D521&gt;2,D521&lt;=4),238,IF(AND(L520="Vermögend und ambulant",D521&gt;1,D521&lt;=2),258,IF(AND(L520="Vermögend und ambulant",D521&gt;0,D521&lt;=1),370,IF(AND(L520="Vermögend und stationär",D521&gt;8,D521&lt;=1000),96,IF(AND(L520="Vermögend und stationär",D521&gt;4,D521&lt;=8),113,IF(AND(L520="Vermögend und stationär",D521&gt;2,D521&lt;=4),174,IF(AND(L520="Vermögend und stationär",D521&gt;1,D521&lt;=2),196,IF(AND(L520="Vermögend und stationär",D521&gt;0,D521&lt;=1),249,IF(AND(L520="Mittellos und ambulant",D521&gt;8,D521&lt;=1000),130,IF(AND(L520="Mittellos und ambulant",D521&gt;4,D521&lt;=8),151,IF(AND(L520="Mittellos und ambulant",D521&gt;2,D521&lt;=4),188,IF(AND(L520="Mittellos und ambulant",D521&gt;1,D521&lt;=2),211,IF(AND(L520="Mittellos und ambulant",D521&gt;0,D521&lt;=1),258,IF(AND(L520="Mittellos und stationär",D521&gt;8,D521&lt;=1000),78,IF(AND(L520="Mittellos und stationär",D521&gt;4,D521&lt;=8),107,IF(AND(L520="Mittellos und stationär",D521&gt;2,D521&lt;=4),154,IF(AND(L520="Mittellos und stationär",D521&gt;1,D521&lt;=2),158,IF(AND(L520="Mittellos und stationär",D521&gt;0,D521&lt;=1),241,""))))))))))))))))))))),IF(M519="Stufe C",IF(AND(L520="Auswahl treffen",D521&gt;=0,D521&lt;=1000),J519,IF(AND(L520="Vermögend und ambulant",D521&gt;8,D521&lt;=1000),211,IF(AND(L520="Vermögend und ambulant",D521&gt;4,D521&lt;=8),257,IF(AND(L520="Vermögend und ambulant",D521&gt;2,D521&lt;=4),312,IF(AND(L520="Vermögend und ambulant",D521&gt;1,D521&lt;=2),339,IF(AND(L520="Vermögend und ambulant",D521&gt;0,D521&lt;=1),486,IF(AND(L520="Vermögend und stationär",D521&gt;8,D521&lt;=1000),127,IF(AND(L520="Vermögend und stationär",D521&gt;4,D521&lt;=8),149,IF(AND(L520="Vermögend und stationär",D521&gt;2,D521&lt;=4),229,IF(AND(L520="Vermögend und stationär",D521&gt;1,D521&lt;=2),257,IF(AND(L520="Vermögend und stationär",D521&gt;0,D521&lt;=1),327,IF(AND(L520="Mittellos und ambulant",D521&gt;8,D521&lt;=1000),171,IF(AND(L520="Mittellos und ambulant",D521&gt;4,D521&lt;=8),198,IF(AND(L520="Mittellos und ambulant",D521&gt;2,D521&lt;=4),246,IF(AND(L520="Mittellos und ambulant",D521&gt;1,D521&lt;=2),277,IF(AND(L520="Mittellos und ambulant",D521&gt;0,D521&lt;=1),339,IF(AND(L520="Mittellos und stationär",D521&gt;8,D521&lt;=1000),102,IF(AND(L520="Mittellos und stationär",D521&gt;4,D521&lt;=8),141,IF(AND(L520="Mittellos und stationär",D521&gt;2,D521&lt;=4),202,IF(AND(L520="Mittellos und stationär",D521&gt;1,D521&lt;=2),208,IF(AND(L520="Mittellos und stationär",D521&gt;0,D521&lt;=1),317,""))))))))))))))))))))),"")))*3+(J519*90)</f>
        <v>#NUM!</v>
      </c>
      <c r="M522" s="507" t="str">
        <f>CONCATENATE(K522, K521)</f>
        <v>+Inflat.-P</v>
      </c>
      <c r="N522" s="206" t="s">
        <v>118</v>
      </c>
      <c r="O522" s="207"/>
      <c r="P522" s="207"/>
      <c r="Q522" s="208"/>
      <c r="R522" s="187"/>
      <c r="S522" s="209" t="s">
        <v>118</v>
      </c>
      <c r="T522" s="201" t="s">
        <v>117</v>
      </c>
      <c r="U522" s="210" t="s">
        <v>26</v>
      </c>
      <c r="V522" s="192"/>
      <c r="W522" s="203"/>
      <c r="X522" s="203"/>
      <c r="Y522" s="210"/>
      <c r="Z522" s="192"/>
      <c r="AA522" s="203"/>
      <c r="AB522" s="203"/>
      <c r="AC522" s="210"/>
      <c r="AD522" s="192"/>
      <c r="AE522" s="203"/>
      <c r="AF522" s="203"/>
      <c r="AG522" s="210"/>
      <c r="AH522" s="193"/>
      <c r="AI522" s="203"/>
      <c r="AJ522" s="203"/>
      <c r="AK522" s="376"/>
      <c r="AL522" s="348" t="s">
        <v>148</v>
      </c>
      <c r="AM522" s="354">
        <f>IF(SUM(N520:N528)=SUM(S520:S528), 0, SUM(N520:N528)-SUM(S520:S528))</f>
        <v>0</v>
      </c>
      <c r="AN522" s="354"/>
      <c r="AO522" s="354"/>
      <c r="AP522" s="354"/>
      <c r="AQ522" s="350">
        <f>AM522+AN522+AO522+AP522</f>
        <v>0</v>
      </c>
      <c r="AR522" s="769"/>
      <c r="AS522" s="769"/>
      <c r="AT522" s="769"/>
      <c r="BM522" s="335"/>
    </row>
    <row r="523" spans="1:65" ht="22.25" customHeight="1">
      <c r="A523" s="181">
        <f t="shared" si="184"/>
        <v>45292</v>
      </c>
      <c r="B523" s="484" t="e">
        <f>MONTH(I520)</f>
        <v>#NUM!</v>
      </c>
      <c r="C523" s="489" t="s">
        <v>158</v>
      </c>
      <c r="D523" s="522" t="e">
        <f>D521+1</f>
        <v>#NUM!</v>
      </c>
      <c r="E523" s="211" t="e">
        <f>DATE(YEAR(E522),MONTH(E522),DAY(E522)+1)</f>
        <v>#NUM!</v>
      </c>
      <c r="F523" s="212" t="e">
        <f t="shared" si="185"/>
        <v>#NUM!</v>
      </c>
      <c r="G523" s="213" t="e">
        <f t="shared" si="186"/>
        <v>#NUM!</v>
      </c>
      <c r="H523" s="212" t="e">
        <f t="shared" si="187"/>
        <v>#NUM!</v>
      </c>
      <c r="I523" s="214" t="str">
        <f>IF(D520&lt;&gt;0,"-1T","")</f>
        <v/>
      </c>
      <c r="J523" s="215" t="e">
        <f>DATE($B525,I524,$B521)</f>
        <v>#NUM!</v>
      </c>
      <c r="K523" s="501" t="str">
        <f t="shared" si="168"/>
        <v/>
      </c>
      <c r="L523" s="470"/>
      <c r="M523" s="473" t="e">
        <f ca="1">SUM(J520-E524)&amp;" Tage"</f>
        <v>#NUM!</v>
      </c>
      <c r="N523" s="216"/>
      <c r="O523" s="217"/>
      <c r="P523" s="188"/>
      <c r="Q523" s="217"/>
      <c r="R523" s="189"/>
      <c r="S523" s="190"/>
      <c r="T523" s="190"/>
      <c r="U523" s="191"/>
      <c r="V523" s="192"/>
      <c r="W523" s="190"/>
      <c r="X523" s="190"/>
      <c r="Y523" s="191"/>
      <c r="Z523" s="192"/>
      <c r="AA523" s="190"/>
      <c r="AB523" s="190"/>
      <c r="AC523" s="191"/>
      <c r="AD523" s="192"/>
      <c r="AE523" s="190"/>
      <c r="AF523" s="190"/>
      <c r="AG523" s="191"/>
      <c r="AH523" s="193"/>
      <c r="AI523" s="190"/>
      <c r="AJ523" s="190"/>
      <c r="AK523" s="374"/>
      <c r="AL523" s="348"/>
      <c r="AM523" s="354"/>
      <c r="AN523" s="354"/>
      <c r="AO523" s="354"/>
      <c r="AP523" s="354"/>
      <c r="AQ523" s="350"/>
      <c r="AR523" s="769"/>
      <c r="AS523" s="769"/>
      <c r="AT523" s="769"/>
      <c r="BM523" s="335"/>
    </row>
    <row r="524" spans="1:65" ht="22.25" customHeight="1">
      <c r="A524" s="181">
        <f t="shared" si="184"/>
        <v>45292</v>
      </c>
      <c r="B524" s="485"/>
      <c r="C524" s="490"/>
      <c r="D524" s="521"/>
      <c r="E524" s="218" t="e">
        <f>DATE(YEAR(E523),MONTH(E523)+3,DAY(E523)-1)</f>
        <v>#NUM!</v>
      </c>
      <c r="F524" s="212" t="e">
        <f t="shared" si="185"/>
        <v>#NUM!</v>
      </c>
      <c r="G524" s="213" t="e">
        <f t="shared" si="186"/>
        <v>#NUM!</v>
      </c>
      <c r="H524" s="212" t="e">
        <f t="shared" si="187"/>
        <v>#NUM!</v>
      </c>
      <c r="I524" s="219">
        <f>MAX(I525:I528)</f>
        <v>9</v>
      </c>
      <c r="J524" s="220" t="e">
        <f>DATE(YEAR(J523)+1,MONTH(J523),DAY(J523))</f>
        <v>#NUM!</v>
      </c>
      <c r="K524" s="506" t="str">
        <f t="shared" si="168"/>
        <v>+Inflat.-P</v>
      </c>
      <c r="L524" s="508" t="e">
        <f>IF(M519="Stufe A",IF(AND(L520="Auswahl treffen",D523&gt;=0,D523&lt;=1000),J519,IF(AND(L520="Vermögend und ambulant",D523&gt;8,D523&lt;=1000),130,IF(AND(L520="Vermögend und ambulant",D523&gt;4,D523&lt;=8),158,IF(AND(L520="Vermögend und ambulant",D523&gt;2,D523&lt;=4),192,IF(AND(L520="Vermögend und ambulant",D523&gt;1,D523&lt;=2),208,IF(AND(L520="Vermögend und ambulant",D523&gt;0,D523&lt;=1),298,IF(AND(L520="Vermögend und stationär",D523&gt;8,D523&lt;=1000),78,IF(AND(L520="Vermögend und stationär",D523&gt;4,D523&lt;=8),91,IF(AND(L520="Vermögend und stationär",D523&gt;2,D523&lt;=4),140,IF(AND(L520="Vermögend und stationär",D523&gt;1,D523&lt;=2),158,IF(AND(L520="Vermögend und stationär",D523&gt;0,D523&lt;=1),200,IF(AND(L520="Mittellos und ambulant",D523&gt;8,D523&lt;=1000),105,IF(AND(L520="Mittellos und ambulant",D523&gt;4,D523&lt;=8),122,IF(AND(L520="Mittellos und ambulant",D523&gt;2,D523&lt;=4),151,IF(AND(L520="Mittellos und ambulant",D523&gt;1,D523&lt;=2),170,IF(AND(L520="Mittellos und ambulant",D523&gt;0,D523&lt;=1),208,IF(AND(L520="Mittellos und stationär",D523&gt;8,D523&lt;=1000),62,IF(AND(L520="Mittellos und stationär",D523&gt;4,D523&lt;=8),87,IF(AND(L520="Mittellos und stationär",D523&gt;2,D523&lt;=4),124,IF(AND(L520="Mittellos und stationär",D523&gt;1,D523&lt;=2),129,IF(AND(L520="Mittellos und stationär",D523&gt;0,D523&lt;=1),194,""))))))))))))))))))))),IF(M519="Stufe B",IF(AND(L520="Auswahl treffen",D523&gt;=0,D523&lt;=1000),J519,IF(AND(L520="Vermögend und ambulant",D523&gt;8,D523&lt;=1000),161,IF(AND(L520="Vermögend und ambulant",D523&gt;4,D523&lt;=8),196,IF(AND(L520="Vermögend und ambulant",D523&gt;2,D523&lt;=4),238,IF(AND(L520="Vermögend und ambulant",D523&gt;1,D523&lt;=2),258,IF(AND(L520="Vermögend und ambulant",D523&gt;0,D523&lt;=1),370,IF(AND(L520="Vermögend und stationär",D523&gt;8,D523&lt;=1000),96,IF(AND(L520="Vermögend und stationär",D523&gt;4,D523&lt;=8),113,IF(AND(L520="Vermögend und stationär",D523&gt;2,D523&lt;=4),174,IF(AND(L520="Vermögend und stationär",D523&gt;1,D523&lt;=2),196,IF(AND(L520="Vermögend und stationär",D523&gt;0,D523&lt;=1),249,IF(AND(L520="Mittellos und ambulant",D523&gt;8,D523&lt;=1000),130,IF(AND(L520="Mittellos und ambulant",D523&gt;4,D523&lt;=8),151,IF(AND(L520="Mittellos und ambulant",D523&gt;2,D523&lt;=4),188,IF(AND(L520="Mittellos und ambulant",D523&gt;1,D523&lt;=2),211,IF(AND(L520="Mittellos und ambulant",D523&gt;0,D523&lt;=1),258,IF(AND(L520="Mittellos und stationär",D523&gt;8,D523&lt;=1000),78,IF(AND(L520="Mittellos und stationär",D523&gt;4,D523&lt;=8),107,IF(AND(L520="Mittellos und stationär",D523&gt;2,D523&lt;=4),154,IF(AND(L520="Mittellos und stationär",D523&gt;1,D523&lt;=2),158,IF(AND(L520="Mittellos und stationär",D523&gt;0,D523&lt;=1),241,""))))))))))))))))))))),IF(M519="Stufe C",IF(AND(L520="Auswahl treffen",D523&gt;=0,D523&lt;=1000),J519,IF(AND(L520="Vermögend und ambulant",D523&gt;8,D523&lt;=1000),211,IF(AND(L520="Vermögend und ambulant",D523&gt;4,D523&lt;=8),257,IF(AND(L520="Vermögend und ambulant",D523&gt;2,D523&lt;=4),312,IF(AND(L520="Vermögend und ambulant",D523&gt;1,D523&lt;=2),339,IF(AND(L520="Vermögend und ambulant",D523&gt;0,D523&lt;=1),486,IF(AND(L520="Vermögend und stationär",D523&gt;8,D523&lt;=1000),127,IF(AND(L520="Vermögend und stationär",D523&gt;4,D523&lt;=8),149,IF(AND(L520="Vermögend und stationär",D523&gt;2,D523&lt;=4),229,IF(AND(L520="Vermögend und stationär",D523&gt;1,D523&lt;=2),257,IF(AND(L520="Vermögend und stationär",D523&gt;0,D523&lt;=1),327,IF(AND(L520="Mittellos und ambulant",D523&gt;8,D523&lt;=1000),171,IF(AND(L520="Mittellos und ambulant",D523&gt;4,D523&lt;=8),198,IF(AND(L520="Mittellos und ambulant",D523&gt;2,D523&lt;=4),246,IF(AND(L520="Mittellos und ambulant",D523&gt;1,D523&lt;=2),277,IF(AND(L520="Mittellos und ambulant",D523&gt;0,D523&lt;=1),339,IF(AND(L520="Mittellos und stationär",D523&gt;8,D523&lt;=1000),102,IF(AND(L520="Mittellos und stationär",D523&gt;4,D523&lt;=8),141,IF(AND(L520="Mittellos und stationär",D523&gt;2,D523&lt;=4),202,IF(AND(L520="Mittellos und stationär",D523&gt;1,D523&lt;=2),208,IF(AND(L520="Mittellos und stationär",D523&gt;0,D523&lt;=1),317,""))))))))))))))))))))),"")))*3+(J519*90)</f>
        <v>#NUM!</v>
      </c>
      <c r="M524" s="507" t="str">
        <f>CONCATENATE(K524, K523)</f>
        <v>+Inflat.-P</v>
      </c>
      <c r="N524" s="216"/>
      <c r="O524" s="188" t="s">
        <v>118</v>
      </c>
      <c r="P524" s="188"/>
      <c r="Q524" s="221"/>
      <c r="R524" s="199"/>
      <c r="S524" s="190"/>
      <c r="T524" s="190"/>
      <c r="U524" s="191"/>
      <c r="V524" s="192"/>
      <c r="W524" s="222" t="s">
        <v>118</v>
      </c>
      <c r="X524" s="222" t="s">
        <v>117</v>
      </c>
      <c r="Y524" s="191" t="s">
        <v>26</v>
      </c>
      <c r="Z524" s="192"/>
      <c r="AA524" s="190"/>
      <c r="AB524" s="190"/>
      <c r="AC524" s="191"/>
      <c r="AD524" s="192"/>
      <c r="AE524" s="190"/>
      <c r="AF524" s="190"/>
      <c r="AG524" s="191"/>
      <c r="AH524" s="193"/>
      <c r="AI524" s="190"/>
      <c r="AJ524" s="190"/>
      <c r="AK524" s="374"/>
      <c r="AL524" s="348" t="s">
        <v>149</v>
      </c>
      <c r="AM524" s="354"/>
      <c r="AN524" s="354">
        <f>IF(SUM(O520:O528)=SUM(W520:W528), 0, SUM(O520:O528)-SUM(W520:W528))</f>
        <v>0</v>
      </c>
      <c r="AO524" s="354"/>
      <c r="AP524" s="354"/>
      <c r="AQ524" s="350">
        <f>AM524+AN524+AO524+AP524</f>
        <v>0</v>
      </c>
      <c r="AR524" s="769"/>
      <c r="AS524" s="769"/>
      <c r="AT524" s="769"/>
      <c r="BM524" s="335"/>
    </row>
    <row r="525" spans="1:65" ht="22.25" customHeight="1">
      <c r="A525" s="181">
        <f t="shared" si="184"/>
        <v>45292</v>
      </c>
      <c r="B525" s="484">
        <f>YEAR($A526)-1</f>
        <v>2023</v>
      </c>
      <c r="C525" s="489" t="s">
        <v>158</v>
      </c>
      <c r="D525" s="520" t="e">
        <f>D523+1</f>
        <v>#NUM!</v>
      </c>
      <c r="E525" s="194" t="e">
        <f>DATE(YEAR(E524),MONTH(E524),DAY(E524)+1)</f>
        <v>#NUM!</v>
      </c>
      <c r="F525" s="195" t="e">
        <f t="shared" si="185"/>
        <v>#NUM!</v>
      </c>
      <c r="G525" s="196" t="e">
        <f t="shared" si="186"/>
        <v>#NUM!</v>
      </c>
      <c r="H525" s="195" t="e">
        <f t="shared" si="187"/>
        <v>#NUM!</v>
      </c>
      <c r="I525" s="197">
        <f>IF(J527&lt;13,J527,"")</f>
        <v>9</v>
      </c>
      <c r="J525" s="224">
        <f>G520</f>
        <v>0</v>
      </c>
      <c r="K525" s="501" t="str">
        <f t="shared" si="168"/>
        <v/>
      </c>
      <c r="L525" s="471"/>
      <c r="M525" s="473" t="e">
        <f ca="1">SUM(J520-E526)&amp;" Tage"</f>
        <v>#NUM!</v>
      </c>
      <c r="N525" s="200"/>
      <c r="O525" s="201"/>
      <c r="P525" s="201"/>
      <c r="Q525" s="202"/>
      <c r="R525" s="189"/>
      <c r="S525" s="203"/>
      <c r="T525" s="203"/>
      <c r="U525" s="204"/>
      <c r="V525" s="192"/>
      <c r="W525" s="203"/>
      <c r="X525" s="203"/>
      <c r="Y525" s="204"/>
      <c r="Z525" s="192"/>
      <c r="AA525" s="203"/>
      <c r="AB525" s="203"/>
      <c r="AC525" s="204"/>
      <c r="AD525" s="192"/>
      <c r="AE525" s="203"/>
      <c r="AF525" s="203"/>
      <c r="AG525" s="204"/>
      <c r="AH525" s="193"/>
      <c r="AI525" s="203"/>
      <c r="AJ525" s="203"/>
      <c r="AK525" s="375"/>
      <c r="AL525" s="348"/>
      <c r="AM525" s="354"/>
      <c r="AN525" s="354"/>
      <c r="AO525" s="354"/>
      <c r="AP525" s="354"/>
      <c r="AQ525" s="350"/>
      <c r="AR525" s="769"/>
      <c r="AS525" s="769"/>
      <c r="AT525" s="769"/>
      <c r="BM525" s="335"/>
    </row>
    <row r="526" spans="1:65" ht="22.25" customHeight="1">
      <c r="A526" s="181">
        <f t="shared" si="184"/>
        <v>45292</v>
      </c>
      <c r="B526" s="485"/>
      <c r="C526" s="490"/>
      <c r="D526" s="521"/>
      <c r="E526" s="194" t="e">
        <f>DATE(YEAR(E525),MONTH(E525)+3,DAY(E525)-1)</f>
        <v>#NUM!</v>
      </c>
      <c r="F526" s="195" t="e">
        <f t="shared" si="185"/>
        <v>#NUM!</v>
      </c>
      <c r="G526" s="196" t="e">
        <f t="shared" si="186"/>
        <v>#NUM!</v>
      </c>
      <c r="H526" s="195" t="e">
        <f t="shared" si="187"/>
        <v>#NUM!</v>
      </c>
      <c r="I526" s="244">
        <f>IF(J528&lt;13,J528,"")</f>
        <v>6</v>
      </c>
      <c r="J526" s="224">
        <f>J525+3</f>
        <v>3</v>
      </c>
      <c r="K526" s="506" t="str">
        <f t="shared" ref="K526:K589" si="188">K524</f>
        <v>+Inflat.-P</v>
      </c>
      <c r="L526" s="511" t="e">
        <f>IF(M519="Stufe A",IF(AND(L520="Auswahl treffen",D525&gt;=0,D525&lt;=1000),J519,IF(AND(L520="Vermögend und ambulant",D525&gt;8,D525&lt;=1000),130,IF(AND(L520="Vermögend und ambulant",D525&gt;4,D525&lt;=8),158,IF(AND(L520="Vermögend und ambulant",D525&gt;2,D525&lt;=4),192,IF(AND(L520="Vermögend und ambulant",D525&gt;1,D525&lt;=2),208,IF(AND(L520="Vermögend und ambulant",D525&gt;0,D525&lt;=1),298,IF(AND(L520="Vermögend und stationär",D525&gt;8,D525&lt;=1000),78,IF(AND(L520="Vermögend und stationär",D525&gt;4,D525&lt;=8),91,IF(AND(L520="Vermögend und stationär",D525&gt;2,D525&lt;=4),140,IF(AND(L520="Vermögend und stationär",D525&gt;1,D525&lt;=2),158,IF(AND(L520="Vermögend und stationär",D525&gt;0,D525&lt;=1),200,IF(AND(L520="Mittellos und ambulant",D525&gt;8,D525&lt;=1000),105,IF(AND(L520="Mittellos und ambulant",D525&gt;4,D525&lt;=8),122,IF(AND(L520="Mittellos und ambulant",D525&gt;2,D525&lt;=4),151,IF(AND(L520="Mittellos und ambulant",D525&gt;1,D525&lt;=2),170,IF(AND(L520="Mittellos und ambulant",D525&gt;0,D525&lt;=1),208,IF(AND(L520="Mittellos und stationär",D525&gt;8,D525&lt;=1000),62,IF(AND(L520="Mittellos und stationär",D525&gt;4,D525&lt;=8),87,IF(AND(L520="Mittellos und stationär",D525&gt;2,D525&lt;=4),124,IF(AND(L520="Mittellos und stationär",D525&gt;1,D525&lt;=2),129,IF(AND(L520="Mittellos und stationär",D525&gt;0,D525&lt;=1),194,""))))))))))))))))))))),IF(M519="Stufe B",IF(AND(L520="Auswahl treffen",D525&gt;=0,D525&lt;=1000),J519,IF(AND(L520="Vermögend und ambulant",D525&gt;8,D525&lt;=1000),161,IF(AND(L520="Vermögend und ambulant",D525&gt;4,D525&lt;=8),196,IF(AND(L520="Vermögend und ambulant",D525&gt;2,D525&lt;=4),238,IF(AND(L520="Vermögend und ambulant",D525&gt;1,D525&lt;=2),258,IF(AND(L520="Vermögend und ambulant",D525&gt;0,D525&lt;=1),370,IF(AND(L520="Vermögend und stationär",D525&gt;8,D525&lt;=1000),96,IF(AND(L520="Vermögend und stationär",D525&gt;4,D525&lt;=8),113,IF(AND(L520="Vermögend und stationär",D525&gt;2,D525&lt;=4),174,IF(AND(L520="Vermögend und stationär",D525&gt;1,D525&lt;=2),196,IF(AND(L520="Vermögend und stationär",D525&gt;0,D525&lt;=1),249,IF(AND(L520="Mittellos und ambulant",D525&gt;8,D525&lt;=1000),130,IF(AND(L520="Mittellos und ambulant",D525&gt;4,D525&lt;=8),151,IF(AND(L520="Mittellos und ambulant",D525&gt;2,D525&lt;=4),188,IF(AND(L520="Mittellos und ambulant",D525&gt;1,D525&lt;=2),211,IF(AND(L520="Mittellos und ambulant",D525&gt;0,D525&lt;=1),258,IF(AND(L520="Mittellos und stationär",D525&gt;8,D525&lt;=1000),78,IF(AND(L520="Mittellos und stationär",D525&gt;4,D525&lt;=8),107,IF(AND(L520="Mittellos und stationär",D525&gt;2,D525&lt;=4),154,IF(AND(L520="Mittellos und stationär",D525&gt;1,D525&lt;=2),158,IF(AND(L520="Mittellos und stationär",D525&gt;0,D525&lt;=1),241,""))))))))))))))))))))),IF(M519="Stufe C",IF(AND(L520="Auswahl treffen",D525&gt;=0,D525&lt;=1000),J519,IF(AND(L520="Vermögend und ambulant",D525&gt;8,D525&lt;=1000),211,IF(AND(L520="Vermögend und ambulant",D525&gt;4,D525&lt;=8),257,IF(AND(L520="Vermögend und ambulant",D525&gt;2,D525&lt;=4),312,IF(AND(L520="Vermögend und ambulant",D525&gt;1,D525&lt;=2),339,IF(AND(L520="Vermögend und ambulant",D525&gt;0,D525&lt;=1),486,IF(AND(L520="Vermögend und stationär",D525&gt;8,D525&lt;=1000),127,IF(AND(L520="Vermögend und stationär",D525&gt;4,D525&lt;=8),149,IF(AND(L520="Vermögend und stationär",D525&gt;2,D525&lt;=4),229,IF(AND(L520="Vermögend und stationär",D525&gt;1,D525&lt;=2),257,IF(AND(L520="Vermögend und stationär",D525&gt;0,D525&lt;=1),327,IF(AND(L520="Mittellos und ambulant",D525&gt;8,D525&lt;=1000),171,IF(AND(L520="Mittellos und ambulant",D525&gt;4,D525&lt;=8),198,IF(AND(L520="Mittellos und ambulant",D525&gt;2,D525&lt;=4),246,IF(AND(L520="Mittellos und ambulant",D525&gt;1,D525&lt;=2),277,IF(AND(L520="Mittellos und ambulant",D525&gt;0,D525&lt;=1),339,IF(AND(L520="Mittellos und stationär",D525&gt;8,D525&lt;=1000),102,IF(AND(L520="Mittellos und stationär",D525&gt;4,D525&lt;=8),141,IF(AND(L520="Mittellos und stationär",D525&gt;2,D525&lt;=4),202,IF(AND(L520="Mittellos und stationär",D525&gt;1,D525&lt;=2),208,IF(AND(L520="Mittellos und stationär",D525&gt;0,D525&lt;=1),317,""))))))))))))))))))))),"")))*3+(J519*90)</f>
        <v>#NUM!</v>
      </c>
      <c r="M526" s="507" t="str">
        <f>CONCATENATE(K526, K525)</f>
        <v>+Inflat.-P</v>
      </c>
      <c r="N526" s="206"/>
      <c r="O526" s="207"/>
      <c r="P526" s="206" t="s">
        <v>118</v>
      </c>
      <c r="Q526" s="226"/>
      <c r="R526" s="189"/>
      <c r="S526" s="203"/>
      <c r="T526" s="203"/>
      <c r="U526" s="204"/>
      <c r="V526" s="192"/>
      <c r="W526" s="203"/>
      <c r="X526" s="203"/>
      <c r="Y526" s="204"/>
      <c r="Z526" s="192"/>
      <c r="AA526" s="209" t="s">
        <v>118</v>
      </c>
      <c r="AB526" s="209" t="s">
        <v>117</v>
      </c>
      <c r="AC526" s="204" t="s">
        <v>26</v>
      </c>
      <c r="AD526" s="192"/>
      <c r="AE526" s="203"/>
      <c r="AF526" s="203"/>
      <c r="AG526" s="204"/>
      <c r="AH526" s="193"/>
      <c r="AI526" s="203"/>
      <c r="AJ526" s="203"/>
      <c r="AK526" s="375"/>
      <c r="AL526" s="348" t="s">
        <v>150</v>
      </c>
      <c r="AM526" s="354"/>
      <c r="AN526" s="354"/>
      <c r="AO526" s="354">
        <f>IF(SUM(P520:P528)=SUM(AA520:AA528), 0, SUM(P520:P528)-SUM(AA520:AA528))</f>
        <v>0</v>
      </c>
      <c r="AP526" s="354"/>
      <c r="AQ526" s="350">
        <f>AM526+AN526+AO526+AP526</f>
        <v>0</v>
      </c>
      <c r="AR526" s="769"/>
      <c r="AS526" s="769"/>
      <c r="AT526" s="769"/>
      <c r="BM526" s="335"/>
    </row>
    <row r="527" spans="1:65" ht="22.25" customHeight="1">
      <c r="A527" s="181">
        <f t="shared" si="184"/>
        <v>45292</v>
      </c>
      <c r="B527" s="486"/>
      <c r="C527" s="489" t="s">
        <v>158</v>
      </c>
      <c r="D527" s="522" t="e">
        <f>D525+1</f>
        <v>#NUM!</v>
      </c>
      <c r="E527" s="211" t="e">
        <f>DATE(YEAR(E526),MONTH(E526),DAY(E526)+1)</f>
        <v>#NUM!</v>
      </c>
      <c r="F527" s="227" t="e">
        <f t="shared" si="185"/>
        <v>#NUM!</v>
      </c>
      <c r="G527" s="228" t="e">
        <f t="shared" si="186"/>
        <v>#NUM!</v>
      </c>
      <c r="H527" s="227" t="e">
        <f t="shared" si="187"/>
        <v>#NUM!</v>
      </c>
      <c r="I527" s="231">
        <f>IF(J526&lt;13,J526,"")</f>
        <v>3</v>
      </c>
      <c r="J527" s="230">
        <f>J528+3</f>
        <v>9</v>
      </c>
      <c r="K527" s="501" t="str">
        <f t="shared" si="188"/>
        <v/>
      </c>
      <c r="L527" s="471"/>
      <c r="M527" s="473" t="e">
        <f ca="1">SUM(J520-E528)&amp;" Tage"</f>
        <v>#NUM!</v>
      </c>
      <c r="N527" s="216"/>
      <c r="O527" s="188"/>
      <c r="P527" s="188"/>
      <c r="Q527" s="217"/>
      <c r="R527" s="189"/>
      <c r="S527" s="190"/>
      <c r="T527" s="190"/>
      <c r="U527" s="191"/>
      <c r="V527" s="192"/>
      <c r="W527" s="190"/>
      <c r="X527" s="190"/>
      <c r="Y527" s="191"/>
      <c r="Z527" s="192"/>
      <c r="AA527" s="190"/>
      <c r="AB527" s="190"/>
      <c r="AC527" s="191"/>
      <c r="AD527" s="192"/>
      <c r="AE527" s="190"/>
      <c r="AF527" s="190"/>
      <c r="AG527" s="191"/>
      <c r="AH527" s="193"/>
      <c r="AI527" s="190"/>
      <c r="AJ527" s="190"/>
      <c r="AK527" s="374"/>
      <c r="AL527" s="348"/>
      <c r="AM527" s="354"/>
      <c r="AN527" s="354"/>
      <c r="AO527" s="354"/>
      <c r="AP527" s="354"/>
      <c r="AQ527" s="350"/>
      <c r="AR527" s="769"/>
      <c r="AS527" s="769"/>
      <c r="AT527" s="769"/>
      <c r="BM527" s="335"/>
    </row>
    <row r="528" spans="1:65" ht="22.25" customHeight="1">
      <c r="A528" s="181">
        <f t="shared" si="184"/>
        <v>45292</v>
      </c>
      <c r="B528" s="485"/>
      <c r="C528" s="490"/>
      <c r="D528" s="521"/>
      <c r="E528" s="218" t="e">
        <f>DATE(YEAR(E527),MONTH(E527)+3,DAY(E527)-1)</f>
        <v>#NUM!</v>
      </c>
      <c r="F528" s="227" t="e">
        <f t="shared" si="185"/>
        <v>#NUM!</v>
      </c>
      <c r="G528" s="228" t="e">
        <f t="shared" si="186"/>
        <v>#NUM!</v>
      </c>
      <c r="H528" s="227" t="e">
        <f t="shared" si="187"/>
        <v>#NUM!</v>
      </c>
      <c r="I528" s="231">
        <f>IF(J525&lt;13,J525,"")</f>
        <v>0</v>
      </c>
      <c r="J528" s="230">
        <f>J526+3</f>
        <v>6</v>
      </c>
      <c r="K528" s="506" t="str">
        <f t="shared" si="188"/>
        <v>+Inflat.-P</v>
      </c>
      <c r="L528" s="508" t="e">
        <f>IF(M519="Stufe A",IF(AND(L520="Auswahl treffen",D527&gt;=0,D527&lt;=1000),J519,IF(AND(L520="Vermögend und ambulant",D527&gt;8,D527&lt;=1000),130,IF(AND(L520="Vermögend und ambulant",D527&gt;4,D527&lt;=8),158,IF(AND(L520="Vermögend und ambulant",D527&gt;2,D527&lt;=4),192,IF(AND(L520="Vermögend und ambulant",D527&gt;1,D527&lt;=2),208,IF(AND(L520="Vermögend und ambulant",D527&gt;0,D527&lt;=1),298,IF(AND(L520="Vermögend und stationär",D527&gt;8,D527&lt;=1000),78,IF(AND(L520="Vermögend und stationär",D527&gt;4,D527&lt;=8),91,IF(AND(L520="Vermögend und stationär",D527&gt;2,D527&lt;=4),140,IF(AND(L520="Vermögend und stationär",D527&gt;1,D527&lt;=2),158,IF(AND(L520="Vermögend und stationär",D527&gt;0,D527&lt;=1),200,IF(AND(L520="Mittellos und ambulant",D527&gt;8,D527&lt;=1000),105,IF(AND(L520="Mittellos und ambulant",D527&gt;4,D527&lt;=8),122,IF(AND(L520="Mittellos und ambulant",D527&gt;2,D527&lt;=4),151,IF(AND(L520="Mittellos und ambulant",D527&gt;1,D527&lt;=2),170,IF(AND(L520="Mittellos und ambulant",D527&gt;0,D527&lt;=1),208,IF(AND(L520="Mittellos und stationär",D527&gt;8,D527&lt;=1000),62,IF(AND(L520="Mittellos und stationär",D527&gt;4,D527&lt;=8),87,IF(AND(L520="Mittellos und stationär",D527&gt;2,D527&lt;=4),124,IF(AND(L520="Mittellos und stationär",D527&gt;1,D527&lt;=2),129,IF(AND(L520="Mittellos und stationär",D527&gt;0,D527&lt;=1),194,""))))))))))))))))))))),IF(M519="Stufe B",IF(AND(L520="Auswahl treffen",D527&gt;=0,D527&lt;=1000),J519,IF(AND(L520="Vermögend und ambulant",D527&gt;8,D527&lt;=1000),161,IF(AND(L520="Vermögend und ambulant",D527&gt;4,D527&lt;=8),196,IF(AND(L520="Vermögend und ambulant",D527&gt;2,D527&lt;=4),238,IF(AND(L520="Vermögend und ambulant",D527&gt;1,D527&lt;=2),258,IF(AND(L520="Vermögend und ambulant",D527&gt;0,D527&lt;=1),370,IF(AND(L520="Vermögend und stationär",D527&gt;8,D527&lt;=1000),96,IF(AND(L520="Vermögend und stationär",D527&gt;4,D527&lt;=8),113,IF(AND(L520="Vermögend und stationär",D527&gt;2,D527&lt;=4),174,IF(AND(L520="Vermögend und stationär",D527&gt;1,D527&lt;=2),196,IF(AND(L520="Vermögend und stationär",D527&gt;0,D527&lt;=1),249,IF(AND(L520="Mittellos und ambulant",D527&gt;8,D527&lt;=1000),130,IF(AND(L520="Mittellos und ambulant",D527&gt;4,D527&lt;=8),151,IF(AND(L520="Mittellos und ambulant",D527&gt;2,D527&lt;=4),188,IF(AND(L520="Mittellos und ambulant",D527&gt;1,D527&lt;=2),211,IF(AND(L520="Mittellos und ambulant",D527&gt;0,D527&lt;=1),258,IF(AND(L520="Mittellos und stationär",D527&gt;8,D527&lt;=1000),78,IF(AND(L520="Mittellos und stationär",D527&gt;4,D527&lt;=8),107,IF(AND(L520="Mittellos und stationär",D527&gt;2,D527&lt;=4),154,IF(AND(L520="Mittellos und stationär",D527&gt;1,D527&lt;=2),158,IF(AND(L520="Mittellos und stationär",D527&gt;0,D527&lt;=1),241,""))))))))))))))))))))),IF(M519="Stufe C",IF(AND(L520="Auswahl treffen",D527&gt;=0,D527&lt;=1000),J519,IF(AND(L520="Vermögend und ambulant",D527&gt;8,D527&lt;=1000),211,IF(AND(L520="Vermögend und ambulant",D527&gt;4,D527&lt;=8),257,IF(AND(L520="Vermögend und ambulant",D527&gt;2,D527&lt;=4),312,IF(AND(L520="Vermögend und ambulant",D527&gt;1,D527&lt;=2),339,IF(AND(L520="Vermögend und ambulant",D527&gt;0,D527&lt;=1),486,IF(AND(L520="Vermögend und stationär",D527&gt;8,D527&lt;=1000),127,IF(AND(L520="Vermögend und stationär",D527&gt;4,D527&lt;=8),149,IF(AND(L520="Vermögend und stationär",D527&gt;2,D527&lt;=4),229,IF(AND(L520="Vermögend und stationär",D527&gt;1,D527&lt;=2),257,IF(AND(L520="Vermögend und stationär",D527&gt;0,D527&lt;=1),327,IF(AND(L520="Mittellos und ambulant",D527&gt;8,D527&lt;=1000),171,IF(AND(L520="Mittellos und ambulant",D527&gt;4,D527&lt;=8),198,IF(AND(L520="Mittellos und ambulant",D527&gt;2,D527&lt;=4),246,IF(AND(L520="Mittellos und ambulant",D527&gt;1,D527&lt;=2),277,IF(AND(L520="Mittellos und ambulant",D527&gt;0,D527&lt;=1),339,IF(AND(L520="Mittellos und stationär",D527&gt;8,D527&lt;=1000),102,IF(AND(L520="Mittellos und stationär",D527&gt;4,D527&lt;=8),141,IF(AND(L520="Mittellos und stationär",D527&gt;2,D527&lt;=4),202,IF(AND(L520="Mittellos und stationär",D527&gt;1,D527&lt;=2),208,IF(AND(L520="Mittellos und stationär",D527&gt;0,D527&lt;=1),317,""))))))))))))))))))))),"")))*3+(J519*90)</f>
        <v>#NUM!</v>
      </c>
      <c r="M528" s="507" t="str">
        <f>CONCATENATE(K528, K527)</f>
        <v>+Inflat.-P</v>
      </c>
      <c r="N528" s="216"/>
      <c r="O528" s="188"/>
      <c r="P528" s="188"/>
      <c r="Q528" s="217" t="s">
        <v>118</v>
      </c>
      <c r="R528" s="189"/>
      <c r="S528" s="190"/>
      <c r="T528" s="190"/>
      <c r="U528" s="191"/>
      <c r="V528" s="192"/>
      <c r="W528" s="190"/>
      <c r="X528" s="190"/>
      <c r="Y528" s="191"/>
      <c r="Z528" s="192"/>
      <c r="AA528" s="190"/>
      <c r="AB528" s="190"/>
      <c r="AC528" s="191"/>
      <c r="AD528" s="192"/>
      <c r="AE528" s="190" t="s">
        <v>118</v>
      </c>
      <c r="AF528" s="190" t="s">
        <v>117</v>
      </c>
      <c r="AG528" s="191" t="s">
        <v>26</v>
      </c>
      <c r="AH528" s="193"/>
      <c r="AI528" s="190" t="s">
        <v>118</v>
      </c>
      <c r="AJ528" s="190" t="s">
        <v>117</v>
      </c>
      <c r="AK528" s="374" t="s">
        <v>26</v>
      </c>
      <c r="AL528" s="348" t="s">
        <v>151</v>
      </c>
      <c r="AM528" s="354"/>
      <c r="AN528" s="354"/>
      <c r="AO528" s="354"/>
      <c r="AP528" s="354">
        <f>IF(SUM(Q520:Q528)=SUM(AE520:AE528,AI520:AI528), 0, SUM(Q520:Q528)-SUM(AE520:AE528,AI520:AI528))</f>
        <v>0</v>
      </c>
      <c r="AQ528" s="350">
        <f>AM528+AN528+AO528+AP528</f>
        <v>0</v>
      </c>
      <c r="AR528" s="769"/>
      <c r="AS528" s="769"/>
      <c r="AT528" s="769"/>
      <c r="BM528" s="335"/>
    </row>
    <row r="529" spans="1:65" ht="22" customHeight="1">
      <c r="A529" s="181">
        <f t="shared" si="184"/>
        <v>45292</v>
      </c>
      <c r="B529" s="232" t="s">
        <v>74</v>
      </c>
      <c r="C529" s="233" t="s">
        <v>75</v>
      </c>
      <c r="D529" s="234" t="s">
        <v>76</v>
      </c>
      <c r="E529" s="235" t="s">
        <v>11</v>
      </c>
      <c r="F529" s="235" t="s">
        <v>4</v>
      </c>
      <c r="G529" s="235" t="s">
        <v>5</v>
      </c>
      <c r="H529" s="235" t="s">
        <v>6</v>
      </c>
      <c r="I529" s="236" t="s">
        <v>77</v>
      </c>
      <c r="J529" s="306"/>
      <c r="K529" s="501" t="str">
        <f t="shared" si="188"/>
        <v/>
      </c>
      <c r="L529" s="306" t="str">
        <f>IFERROR(VLOOKUP(B530,'Aktuelle Einnahmen'!A2:J104,10,0),"")</f>
        <v/>
      </c>
      <c r="M529" s="510" t="str">
        <f>M519</f>
        <v>Stufe C</v>
      </c>
      <c r="N529" s="237"/>
      <c r="O529" s="238"/>
      <c r="P529" s="238"/>
      <c r="Q529" s="239"/>
      <c r="R529" s="240"/>
      <c r="S529" s="241"/>
      <c r="T529" s="241"/>
      <c r="U529" s="242"/>
      <c r="V529" s="243"/>
      <c r="W529" s="241"/>
      <c r="X529" s="241"/>
      <c r="Y529" s="242"/>
      <c r="Z529" s="243"/>
      <c r="AA529" s="241"/>
      <c r="AB529" s="241"/>
      <c r="AC529" s="242"/>
      <c r="AD529" s="243"/>
      <c r="AE529" s="241"/>
      <c r="AF529" s="241"/>
      <c r="AG529" s="242"/>
      <c r="AH529" s="240"/>
      <c r="AI529" s="241"/>
      <c r="AJ529" s="241"/>
      <c r="AK529" s="377"/>
      <c r="AL529" s="347"/>
      <c r="AM529" s="353"/>
      <c r="AN529" s="353"/>
      <c r="AO529" s="353"/>
      <c r="AP529" s="353"/>
      <c r="AQ529" s="349"/>
      <c r="AR529" s="768"/>
      <c r="AS529" s="768"/>
      <c r="AT529" s="768"/>
      <c r="BM529" s="335"/>
    </row>
    <row r="530" spans="1:65" ht="23" customHeight="1">
      <c r="A530" s="181">
        <f t="shared" si="184"/>
        <v>45292</v>
      </c>
      <c r="B530" s="182">
        <v>53</v>
      </c>
      <c r="C530" s="245">
        <f>IFERROR(VLOOKUP($B530,'Aktuelle Einnahmen'!A2:G104,3,0),"")</f>
        <v>0</v>
      </c>
      <c r="D530" s="246">
        <f>IFERROR(VLOOKUP($B530,'Aktuelle Einnahmen'!A2:G104,2,0),"")</f>
        <v>0</v>
      </c>
      <c r="E530" s="247">
        <f>IFERROR(VLOOKUP($B530,'Aktuelle Einnahmen'!A2:G104,4,0),"")</f>
        <v>0</v>
      </c>
      <c r="F530" s="94">
        <f>IFERROR(VLOOKUP($B530,'Aktuelle Einnahmen'!A2:G104,5,0),"")</f>
        <v>0</v>
      </c>
      <c r="G530" s="94">
        <f>IFERROR(VLOOKUP($B530,'Aktuelle Einnahmen'!A2:G104,6,0),"")</f>
        <v>0</v>
      </c>
      <c r="H530" s="94">
        <f>IFERROR(VLOOKUP($B530,'Aktuelle Einnahmen'!A2:G104,7,0),"")</f>
        <v>0</v>
      </c>
      <c r="I530" s="186" t="e">
        <f>DATE(H530,G530,F530)</f>
        <v>#NUM!</v>
      </c>
      <c r="J530" s="472">
        <f ca="1">J520</f>
        <v>45475</v>
      </c>
      <c r="K530" s="501" t="str">
        <f t="shared" si="188"/>
        <v>+Inflat.-P</v>
      </c>
      <c r="L530" s="1262" t="str">
        <f>IFERROR(VLOOKUP(B530,'Aktuelle Einnahmen'!A22:I124,9,0),"")</f>
        <v>Auswahl treffen</v>
      </c>
      <c r="M530" s="1263"/>
      <c r="N530" s="261"/>
      <c r="O530" s="261"/>
      <c r="P530" s="261"/>
      <c r="Q530" s="261"/>
      <c r="R530" s="189"/>
      <c r="S530" s="190"/>
      <c r="T530" s="190"/>
      <c r="U530" s="191"/>
      <c r="V530" s="192"/>
      <c r="W530" s="190"/>
      <c r="X530" s="190"/>
      <c r="Y530" s="191"/>
      <c r="Z530" s="192"/>
      <c r="AA530" s="190"/>
      <c r="AB530" s="190"/>
      <c r="AC530" s="191"/>
      <c r="AD530" s="192"/>
      <c r="AE530" s="190"/>
      <c r="AF530" s="190"/>
      <c r="AG530" s="191"/>
      <c r="AH530" s="193"/>
      <c r="AI530" s="190"/>
      <c r="AJ530" s="190"/>
      <c r="AK530" s="374"/>
      <c r="AL530" s="348"/>
      <c r="AM530" s="354"/>
      <c r="AN530" s="354"/>
      <c r="AO530" s="354"/>
      <c r="AP530" s="354"/>
      <c r="AQ530" s="350"/>
      <c r="AR530" s="769"/>
      <c r="AS530" s="769"/>
      <c r="AT530" s="769"/>
      <c r="BM530" s="335"/>
    </row>
    <row r="531" spans="1:65" ht="22.25" customHeight="1">
      <c r="A531" s="181">
        <f t="shared" si="184"/>
        <v>45292</v>
      </c>
      <c r="B531" s="484" t="e">
        <f>DAY(I530)</f>
        <v>#NUM!</v>
      </c>
      <c r="C531" s="489" t="s">
        <v>158</v>
      </c>
      <c r="D531" s="520" t="e">
        <f>(I531*4)+J531/3+1</f>
        <v>#NUM!</v>
      </c>
      <c r="E531" s="194" t="e">
        <f>J533+1</f>
        <v>#NUM!</v>
      </c>
      <c r="F531" s="195" t="e">
        <f t="shared" ref="F531:F538" si="189">DAY(E531)</f>
        <v>#NUM!</v>
      </c>
      <c r="G531" s="196" t="e">
        <f t="shared" ref="G531:G538" si="190">MONTH(E531)</f>
        <v>#NUM!</v>
      </c>
      <c r="H531" s="195" t="e">
        <f t="shared" ref="H531:H538" si="191">YEAR(E531)</f>
        <v>#NUM!</v>
      </c>
      <c r="I531" s="197" t="e">
        <f>H531-(H530+2000)</f>
        <v>#NUM!</v>
      </c>
      <c r="J531" s="198" t="e">
        <f>G531-G530</f>
        <v>#NUM!</v>
      </c>
      <c r="K531" s="506" t="str">
        <f>L529</f>
        <v/>
      </c>
      <c r="L531" s="469"/>
      <c r="M531" s="473" t="e">
        <f ca="1">SUM(J530-E532)&amp;" Tage"</f>
        <v>#NUM!</v>
      </c>
      <c r="N531" s="206"/>
      <c r="O531" s="201"/>
      <c r="P531" s="201"/>
      <c r="Q531" s="202"/>
      <c r="R531" s="189"/>
      <c r="S531" s="203"/>
      <c r="T531" s="203"/>
      <c r="U531" s="204"/>
      <c r="V531" s="192"/>
      <c r="W531" s="203"/>
      <c r="X531" s="203"/>
      <c r="Y531" s="204"/>
      <c r="Z531" s="192"/>
      <c r="AA531" s="203"/>
      <c r="AB531" s="203"/>
      <c r="AC531" s="204"/>
      <c r="AD531" s="192"/>
      <c r="AE531" s="203"/>
      <c r="AF531" s="203"/>
      <c r="AG531" s="204"/>
      <c r="AH531" s="193"/>
      <c r="AI531" s="203"/>
      <c r="AJ531" s="203"/>
      <c r="AK531" s="375"/>
      <c r="AL531" s="348"/>
      <c r="AM531" s="354"/>
      <c r="AN531" s="354"/>
      <c r="AO531" s="354"/>
      <c r="AP531" s="354"/>
      <c r="AQ531" s="350"/>
      <c r="AR531" s="769"/>
      <c r="AS531" s="769"/>
      <c r="AT531" s="769"/>
      <c r="BM531" s="335"/>
    </row>
    <row r="532" spans="1:65" ht="22.25" customHeight="1">
      <c r="A532" s="181">
        <f t="shared" si="184"/>
        <v>45292</v>
      </c>
      <c r="B532" s="485"/>
      <c r="C532" s="490"/>
      <c r="D532" s="521"/>
      <c r="E532" s="194" t="e">
        <f>DATE(YEAR(E531),MONTH(E531)+3,DAY(E531)-1)</f>
        <v>#NUM!</v>
      </c>
      <c r="F532" s="195" t="e">
        <f t="shared" si="189"/>
        <v>#NUM!</v>
      </c>
      <c r="G532" s="196" t="e">
        <f t="shared" si="190"/>
        <v>#NUM!</v>
      </c>
      <c r="H532" s="195" t="e">
        <f t="shared" si="191"/>
        <v>#NUM!</v>
      </c>
      <c r="I532" s="244">
        <v>-1</v>
      </c>
      <c r="J532" s="198" t="e">
        <f>F531-F530</f>
        <v>#NUM!</v>
      </c>
      <c r="K532" s="501" t="str">
        <f t="shared" si="188"/>
        <v>+Inflat.-P</v>
      </c>
      <c r="L532" s="511" t="e">
        <f>IF(M529="Stufe A",IF(AND(L530="Auswahl treffen",D531&gt;=0,D531&lt;=1000),J529,IF(AND(L530="Vermögend und ambulant",D531&gt;8,D531&lt;=1000),130,IF(AND(L530="Vermögend und ambulant",D531&gt;4,D531&lt;=8),158,IF(AND(L530="Vermögend und ambulant",D531&gt;2,D531&lt;=4),192,IF(AND(L530="Vermögend und ambulant",D531&gt;1,D531&lt;=2),208,IF(AND(L530="Vermögend und ambulant",D531&gt;0,D531&lt;=1),298,IF(AND(L530="Vermögend und stationär",D531&gt;8,D531&lt;=1000),78,IF(AND(L530="Vermögend und stationär",D531&gt;4,D531&lt;=8),91,IF(AND(L530="Vermögend und stationär",D531&gt;2,D531&lt;=4),140,IF(AND(L530="Vermögend und stationär",D531&gt;1,D531&lt;=2),158,IF(AND(L530="Vermögend und stationär",D531&gt;0,D531&lt;=1),200,IF(AND(L530="Mittellos und ambulant",D531&gt;8,D531&lt;=1000),105,IF(AND(L530="Mittellos und ambulant",D531&gt;4,D531&lt;=8),122,IF(AND(L530="Mittellos und ambulant",D531&gt;2,D531&lt;=4),151,IF(AND(L530="Mittellos und ambulant",D531&gt;1,D531&lt;=2),170,IF(AND(L530="Mittellos und ambulant",D531&gt;0,D531&lt;=1),208,IF(AND(L530="Mittellos und stationär",D531&gt;8,D531&lt;=1000),62,IF(AND(L530="Mittellos und stationär",D531&gt;4,D531&lt;=8),87,IF(AND(L530="Mittellos und stationär",D531&gt;2,D531&lt;=4),124,IF(AND(L530="Mittellos und stationär",D531&gt;1,D531&lt;=2),129,IF(AND(L530="Mittellos und stationär",D531&gt;0,D531&lt;=1),194,""))))))))))))))))))))),IF(M529="Stufe B",IF(AND(L530="Auswahl treffen",D531&gt;=0,D531&lt;=1000),J529,IF(AND(L530="Vermögend und ambulant",D531&gt;8,D531&lt;=1000),161,IF(AND(L530="Vermögend und ambulant",D531&gt;4,D531&lt;=8),196,IF(AND(L530="Vermögend und ambulant",D531&gt;2,D531&lt;=4),238,IF(AND(L530="Vermögend und ambulant",D531&gt;1,D531&lt;=2),258,IF(AND(L530="Vermögend und ambulant",D531&gt;0,D531&lt;=1),370,IF(AND(L530="Vermögend und stationär",D531&gt;8,D531&lt;=1000),96,IF(AND(L530="Vermögend und stationär",D531&gt;4,D531&lt;=8),113,IF(AND(L530="Vermögend und stationär",D531&gt;2,D531&lt;=4),174,IF(AND(L530="Vermögend und stationär",D531&gt;1,D531&lt;=2),196,IF(AND(L530="Vermögend und stationär",D531&gt;0,D531&lt;=1),249,IF(AND(L530="Mittellos und ambulant",D531&gt;8,D531&lt;=1000),130,IF(AND(L530="Mittellos und ambulant",D531&gt;4,D531&lt;=8),151,IF(AND(L530="Mittellos und ambulant",D531&gt;2,D531&lt;=4),188,IF(AND(L530="Mittellos und ambulant",D531&gt;1,D531&lt;=2),211,IF(AND(L530="Mittellos und ambulant",D531&gt;0,D531&lt;=1),258,IF(AND(L530="Mittellos und stationär",D531&gt;8,D531&lt;=1000),78,IF(AND(L530="Mittellos und stationär",D531&gt;4,D531&lt;=8),107,IF(AND(L530="Mittellos und stationär",D531&gt;2,D531&lt;=4),154,IF(AND(L530="Mittellos und stationär",D531&gt;1,D531&lt;=2),158,IF(AND(L530="Mittellos und stationär",D531&gt;0,D531&lt;=1),241,""))))))))))))))))))))),IF(M529="Stufe C",IF(AND(L530="Auswahl treffen",D531&gt;=0,D531&lt;=1000),J529,IF(AND(L530="Vermögend und ambulant",D531&gt;8,D531&lt;=1000),211,IF(AND(L530="Vermögend und ambulant",D531&gt;4,D531&lt;=8),257,IF(AND(L530="Vermögend und ambulant",D531&gt;2,D531&lt;=4),312,IF(AND(L530="Vermögend und ambulant",D531&gt;1,D531&lt;=2),339,IF(AND(L530="Vermögend und ambulant",D531&gt;0,D531&lt;=1),486,IF(AND(L530="Vermögend und stationär",D531&gt;8,D531&lt;=1000),127,IF(AND(L530="Vermögend und stationär",D531&gt;4,D531&lt;=8),149,IF(AND(L530="Vermögend und stationär",D531&gt;2,D531&lt;=4),229,IF(AND(L530="Vermögend und stationär",D531&gt;1,D531&lt;=2),257,IF(AND(L530="Vermögend und stationär",D531&gt;0,D531&lt;=1),327,IF(AND(L530="Mittellos und ambulant",D531&gt;8,D531&lt;=1000),171,IF(AND(L530="Mittellos und ambulant",D531&gt;4,D531&lt;=8),198,IF(AND(L530="Mittellos und ambulant",D531&gt;2,D531&lt;=4),246,IF(AND(L530="Mittellos und ambulant",D531&gt;1,D531&lt;=2),277,IF(AND(L530="Mittellos und ambulant",D531&gt;0,D531&lt;=1),339,IF(AND(L530="Mittellos und stationär",D531&gt;8,D531&lt;=1000),102,IF(AND(L530="Mittellos und stationär",D531&gt;4,D531&lt;=8),141,IF(AND(L530="Mittellos und stationär",D531&gt;2,D531&lt;=4),202,IF(AND(L530="Mittellos und stationär",D531&gt;1,D531&lt;=2),208,IF(AND(L530="Mittellos und stationär",D531&gt;0,D531&lt;=1),317,""))))))))))))))))))))),"")))*3+(J529*90)</f>
        <v>#NUM!</v>
      </c>
      <c r="M532" s="507" t="str">
        <f>CONCATENATE(K532, K531)</f>
        <v>+Inflat.-P</v>
      </c>
      <c r="N532" s="206" t="s">
        <v>118</v>
      </c>
      <c r="O532" s="207"/>
      <c r="P532" s="207"/>
      <c r="Q532" s="208"/>
      <c r="R532" s="187"/>
      <c r="S532" s="209" t="s">
        <v>118</v>
      </c>
      <c r="T532" s="201" t="s">
        <v>117</v>
      </c>
      <c r="U532" s="210" t="s">
        <v>26</v>
      </c>
      <c r="V532" s="192"/>
      <c r="W532" s="203"/>
      <c r="X532" s="203"/>
      <c r="Y532" s="210"/>
      <c r="Z532" s="192"/>
      <c r="AA532" s="203"/>
      <c r="AB532" s="203"/>
      <c r="AC532" s="210"/>
      <c r="AD532" s="192"/>
      <c r="AE532" s="203"/>
      <c r="AF532" s="203"/>
      <c r="AG532" s="210"/>
      <c r="AH532" s="193"/>
      <c r="AI532" s="203"/>
      <c r="AJ532" s="203"/>
      <c r="AK532" s="376"/>
      <c r="AL532" s="348" t="s">
        <v>148</v>
      </c>
      <c r="AM532" s="354">
        <f>IF(SUM(N530:N538)=SUM(S530:S538), 0, SUM(N530:N538)-SUM(S530:S538))</f>
        <v>0</v>
      </c>
      <c r="AN532" s="354"/>
      <c r="AO532" s="354"/>
      <c r="AP532" s="354"/>
      <c r="AQ532" s="350">
        <f>AM532+AN532+AO532+AP532</f>
        <v>0</v>
      </c>
      <c r="AR532" s="769"/>
      <c r="AS532" s="769"/>
      <c r="AT532" s="769"/>
      <c r="BM532" s="335"/>
    </row>
    <row r="533" spans="1:65" ht="22.25" customHeight="1">
      <c r="A533" s="181">
        <f t="shared" si="184"/>
        <v>45292</v>
      </c>
      <c r="B533" s="484" t="e">
        <f>MONTH(I530)</f>
        <v>#NUM!</v>
      </c>
      <c r="C533" s="489" t="s">
        <v>158</v>
      </c>
      <c r="D533" s="522" t="e">
        <f>D531+1</f>
        <v>#NUM!</v>
      </c>
      <c r="E533" s="211" t="e">
        <f>DATE(YEAR(E532),MONTH(E532),DAY(E532)+1)</f>
        <v>#NUM!</v>
      </c>
      <c r="F533" s="212" t="e">
        <f t="shared" si="189"/>
        <v>#NUM!</v>
      </c>
      <c r="G533" s="213" t="e">
        <f t="shared" si="190"/>
        <v>#NUM!</v>
      </c>
      <c r="H533" s="212" t="e">
        <f t="shared" si="191"/>
        <v>#NUM!</v>
      </c>
      <c r="I533" s="214" t="str">
        <f>IF(D530&lt;&gt;0,"-1T","")</f>
        <v/>
      </c>
      <c r="J533" s="215" t="e">
        <f>DATE($B535,I534,$B531)</f>
        <v>#NUM!</v>
      </c>
      <c r="K533" s="506" t="str">
        <f t="shared" si="188"/>
        <v/>
      </c>
      <c r="L533" s="470"/>
      <c r="M533" s="473" t="e">
        <f ca="1">SUM(J530-E534)&amp;" Tage"</f>
        <v>#NUM!</v>
      </c>
      <c r="N533" s="216"/>
      <c r="O533" s="217"/>
      <c r="P533" s="188"/>
      <c r="Q533" s="217"/>
      <c r="R533" s="189"/>
      <c r="S533" s="190"/>
      <c r="T533" s="190"/>
      <c r="U533" s="191"/>
      <c r="V533" s="192"/>
      <c r="W533" s="190"/>
      <c r="X533" s="190"/>
      <c r="Y533" s="191"/>
      <c r="Z533" s="192"/>
      <c r="AA533" s="190"/>
      <c r="AB533" s="190"/>
      <c r="AC533" s="191"/>
      <c r="AD533" s="192"/>
      <c r="AE533" s="190"/>
      <c r="AF533" s="190"/>
      <c r="AG533" s="191"/>
      <c r="AH533" s="193"/>
      <c r="AI533" s="190"/>
      <c r="AJ533" s="190"/>
      <c r="AK533" s="374"/>
      <c r="AL533" s="348"/>
      <c r="AM533" s="354"/>
      <c r="AN533" s="354"/>
      <c r="AO533" s="354"/>
      <c r="AP533" s="354"/>
      <c r="AQ533" s="350"/>
      <c r="AR533" s="769"/>
      <c r="AS533" s="769"/>
      <c r="AT533" s="769"/>
      <c r="BM533" s="335"/>
    </row>
    <row r="534" spans="1:65" ht="22.25" customHeight="1">
      <c r="A534" s="181">
        <f t="shared" si="184"/>
        <v>45292</v>
      </c>
      <c r="B534" s="485"/>
      <c r="C534" s="490"/>
      <c r="D534" s="521"/>
      <c r="E534" s="218" t="e">
        <f>DATE(YEAR(E533),MONTH(E533)+3,DAY(E533)-1)</f>
        <v>#NUM!</v>
      </c>
      <c r="F534" s="212" t="e">
        <f t="shared" si="189"/>
        <v>#NUM!</v>
      </c>
      <c r="G534" s="213" t="e">
        <f t="shared" si="190"/>
        <v>#NUM!</v>
      </c>
      <c r="H534" s="212" t="e">
        <f t="shared" si="191"/>
        <v>#NUM!</v>
      </c>
      <c r="I534" s="219">
        <f>MAX(I535:I538)</f>
        <v>9</v>
      </c>
      <c r="J534" s="220" t="e">
        <f>DATE(YEAR(J533)+1,MONTH(J533),DAY(J533))</f>
        <v>#NUM!</v>
      </c>
      <c r="K534" s="501" t="str">
        <f t="shared" si="188"/>
        <v>+Inflat.-P</v>
      </c>
      <c r="L534" s="508" t="e">
        <f>IF(M529="Stufe A",IF(AND(L530="Auswahl treffen",D533&gt;=0,D533&lt;=1000),J529,IF(AND(L530="Vermögend und ambulant",D533&gt;8,D533&lt;=1000),130,IF(AND(L530="Vermögend und ambulant",D533&gt;4,D533&lt;=8),158,IF(AND(L530="Vermögend und ambulant",D533&gt;2,D533&lt;=4),192,IF(AND(L530="Vermögend und ambulant",D533&gt;1,D533&lt;=2),208,IF(AND(L530="Vermögend und ambulant",D533&gt;0,D533&lt;=1),298,IF(AND(L530="Vermögend und stationär",D533&gt;8,D533&lt;=1000),78,IF(AND(L530="Vermögend und stationär",D533&gt;4,D533&lt;=8),91,IF(AND(L530="Vermögend und stationär",D533&gt;2,D533&lt;=4),140,IF(AND(L530="Vermögend und stationär",D533&gt;1,D533&lt;=2),158,IF(AND(L530="Vermögend und stationär",D533&gt;0,D533&lt;=1),200,IF(AND(L530="Mittellos und ambulant",D533&gt;8,D533&lt;=1000),105,IF(AND(L530="Mittellos und ambulant",D533&gt;4,D533&lt;=8),122,IF(AND(L530="Mittellos und ambulant",D533&gt;2,D533&lt;=4),151,IF(AND(L530="Mittellos und ambulant",D533&gt;1,D533&lt;=2),170,IF(AND(L530="Mittellos und ambulant",D533&gt;0,D533&lt;=1),208,IF(AND(L530="Mittellos und stationär",D533&gt;8,D533&lt;=1000),62,IF(AND(L530="Mittellos und stationär",D533&gt;4,D533&lt;=8),87,IF(AND(L530="Mittellos und stationär",D533&gt;2,D533&lt;=4),124,IF(AND(L530="Mittellos und stationär",D533&gt;1,D533&lt;=2),129,IF(AND(L530="Mittellos und stationär",D533&gt;0,D533&lt;=1),194,""))))))))))))))))))))),IF(M529="Stufe B",IF(AND(L530="Auswahl treffen",D533&gt;=0,D533&lt;=1000),J529,IF(AND(L530="Vermögend und ambulant",D533&gt;8,D533&lt;=1000),161,IF(AND(L530="Vermögend und ambulant",D533&gt;4,D533&lt;=8),196,IF(AND(L530="Vermögend und ambulant",D533&gt;2,D533&lt;=4),238,IF(AND(L530="Vermögend und ambulant",D533&gt;1,D533&lt;=2),258,IF(AND(L530="Vermögend und ambulant",D533&gt;0,D533&lt;=1),370,IF(AND(L530="Vermögend und stationär",D533&gt;8,D533&lt;=1000),96,IF(AND(L530="Vermögend und stationär",D533&gt;4,D533&lt;=8),113,IF(AND(L530="Vermögend und stationär",D533&gt;2,D533&lt;=4),174,IF(AND(L530="Vermögend und stationär",D533&gt;1,D533&lt;=2),196,IF(AND(L530="Vermögend und stationär",D533&gt;0,D533&lt;=1),249,IF(AND(L530="Mittellos und ambulant",D533&gt;8,D533&lt;=1000),130,IF(AND(L530="Mittellos und ambulant",D533&gt;4,D533&lt;=8),151,IF(AND(L530="Mittellos und ambulant",D533&gt;2,D533&lt;=4),188,IF(AND(L530="Mittellos und ambulant",D533&gt;1,D533&lt;=2),211,IF(AND(L530="Mittellos und ambulant",D533&gt;0,D533&lt;=1),258,IF(AND(L530="Mittellos und stationär",D533&gt;8,D533&lt;=1000),78,IF(AND(L530="Mittellos und stationär",D533&gt;4,D533&lt;=8),107,IF(AND(L530="Mittellos und stationär",D533&gt;2,D533&lt;=4),154,IF(AND(L530="Mittellos und stationär",D533&gt;1,D533&lt;=2),158,IF(AND(L530="Mittellos und stationär",D533&gt;0,D533&lt;=1),241,""))))))))))))))))))))),IF(M529="Stufe C",IF(AND(L530="Auswahl treffen",D533&gt;=0,D533&lt;=1000),J529,IF(AND(L530="Vermögend und ambulant",D533&gt;8,D533&lt;=1000),211,IF(AND(L530="Vermögend und ambulant",D533&gt;4,D533&lt;=8),257,IF(AND(L530="Vermögend und ambulant",D533&gt;2,D533&lt;=4),312,IF(AND(L530="Vermögend und ambulant",D533&gt;1,D533&lt;=2),339,IF(AND(L530="Vermögend und ambulant",D533&gt;0,D533&lt;=1),486,IF(AND(L530="Vermögend und stationär",D533&gt;8,D533&lt;=1000),127,IF(AND(L530="Vermögend und stationär",D533&gt;4,D533&lt;=8),149,IF(AND(L530="Vermögend und stationär",D533&gt;2,D533&lt;=4),229,IF(AND(L530="Vermögend und stationär",D533&gt;1,D533&lt;=2),257,IF(AND(L530="Vermögend und stationär",D533&gt;0,D533&lt;=1),327,IF(AND(L530="Mittellos und ambulant",D533&gt;8,D533&lt;=1000),171,IF(AND(L530="Mittellos und ambulant",D533&gt;4,D533&lt;=8),198,IF(AND(L530="Mittellos und ambulant",D533&gt;2,D533&lt;=4),246,IF(AND(L530="Mittellos und ambulant",D533&gt;1,D533&lt;=2),277,IF(AND(L530="Mittellos und ambulant",D533&gt;0,D533&lt;=1),339,IF(AND(L530="Mittellos und stationär",D533&gt;8,D533&lt;=1000),102,IF(AND(L530="Mittellos und stationär",D533&gt;4,D533&lt;=8),141,IF(AND(L530="Mittellos und stationär",D533&gt;2,D533&lt;=4),202,IF(AND(L530="Mittellos und stationär",D533&gt;1,D533&lt;=2),208,IF(AND(L530="Mittellos und stationär",D533&gt;0,D533&lt;=1),317,""))))))))))))))))))))),"")))*3+(J529*90)</f>
        <v>#NUM!</v>
      </c>
      <c r="M534" s="507" t="str">
        <f>CONCATENATE(K534, K533)</f>
        <v>+Inflat.-P</v>
      </c>
      <c r="N534" s="216"/>
      <c r="O534" s="188" t="s">
        <v>118</v>
      </c>
      <c r="P534" s="188"/>
      <c r="Q534" s="221"/>
      <c r="R534" s="199"/>
      <c r="S534" s="190"/>
      <c r="T534" s="190"/>
      <c r="U534" s="191"/>
      <c r="V534" s="192"/>
      <c r="W534" s="222" t="s">
        <v>118</v>
      </c>
      <c r="X534" s="222" t="s">
        <v>117</v>
      </c>
      <c r="Y534" s="191" t="s">
        <v>26</v>
      </c>
      <c r="Z534" s="192"/>
      <c r="AA534" s="190"/>
      <c r="AB534" s="190"/>
      <c r="AC534" s="191"/>
      <c r="AD534" s="192"/>
      <c r="AE534" s="190"/>
      <c r="AF534" s="190"/>
      <c r="AG534" s="191"/>
      <c r="AH534" s="193"/>
      <c r="AI534" s="190"/>
      <c r="AJ534" s="190"/>
      <c r="AK534" s="374"/>
      <c r="AL534" s="348" t="s">
        <v>149</v>
      </c>
      <c r="AM534" s="354"/>
      <c r="AN534" s="354">
        <f>IF(SUM(O530:O538)=SUM(W530:W538), 0, SUM(O530:O538)-SUM(W530:W538))</f>
        <v>0</v>
      </c>
      <c r="AO534" s="354"/>
      <c r="AP534" s="354"/>
      <c r="AQ534" s="350">
        <f>AM534+AN534+AO534+AP534</f>
        <v>0</v>
      </c>
      <c r="AR534" s="769"/>
      <c r="AS534" s="769"/>
      <c r="AT534" s="769"/>
      <c r="BM534" s="335"/>
    </row>
    <row r="535" spans="1:65" ht="22.25" customHeight="1">
      <c r="A535" s="181">
        <f t="shared" si="184"/>
        <v>45292</v>
      </c>
      <c r="B535" s="484">
        <f>YEAR($A536)-1</f>
        <v>2023</v>
      </c>
      <c r="C535" s="489" t="s">
        <v>158</v>
      </c>
      <c r="D535" s="520" t="e">
        <f>D533+1</f>
        <v>#NUM!</v>
      </c>
      <c r="E535" s="194" t="e">
        <f>DATE(YEAR(E534),MONTH(E534),DAY(E534)+1)</f>
        <v>#NUM!</v>
      </c>
      <c r="F535" s="195" t="e">
        <f t="shared" si="189"/>
        <v>#NUM!</v>
      </c>
      <c r="G535" s="196" t="e">
        <f t="shared" si="190"/>
        <v>#NUM!</v>
      </c>
      <c r="H535" s="195" t="e">
        <f t="shared" si="191"/>
        <v>#NUM!</v>
      </c>
      <c r="I535" s="197">
        <f>IF(J537&lt;13,J537,"")</f>
        <v>9</v>
      </c>
      <c r="J535" s="224">
        <f>G530</f>
        <v>0</v>
      </c>
      <c r="K535" s="506" t="str">
        <f t="shared" si="188"/>
        <v/>
      </c>
      <c r="L535" s="471"/>
      <c r="M535" s="473" t="e">
        <f ca="1">SUM(J530-E536)&amp;" Tage"</f>
        <v>#NUM!</v>
      </c>
      <c r="N535" s="200"/>
      <c r="O535" s="201"/>
      <c r="P535" s="201"/>
      <c r="Q535" s="202"/>
      <c r="R535" s="189"/>
      <c r="S535" s="203"/>
      <c r="T535" s="203"/>
      <c r="U535" s="204"/>
      <c r="V535" s="192"/>
      <c r="W535" s="203"/>
      <c r="X535" s="203"/>
      <c r="Y535" s="204"/>
      <c r="Z535" s="192"/>
      <c r="AA535" s="203"/>
      <c r="AB535" s="203"/>
      <c r="AC535" s="204"/>
      <c r="AD535" s="192"/>
      <c r="AE535" s="203"/>
      <c r="AF535" s="203"/>
      <c r="AG535" s="204"/>
      <c r="AH535" s="193"/>
      <c r="AI535" s="203"/>
      <c r="AJ535" s="203"/>
      <c r="AK535" s="375"/>
      <c r="AL535" s="348"/>
      <c r="AM535" s="354"/>
      <c r="AN535" s="354"/>
      <c r="AO535" s="354"/>
      <c r="AP535" s="354"/>
      <c r="AQ535" s="350"/>
      <c r="AR535" s="769"/>
      <c r="AS535" s="769"/>
      <c r="AT535" s="769"/>
      <c r="BM535" s="335"/>
    </row>
    <row r="536" spans="1:65" ht="22.25" customHeight="1">
      <c r="A536" s="181">
        <f t="shared" si="184"/>
        <v>45292</v>
      </c>
      <c r="B536" s="485"/>
      <c r="C536" s="490"/>
      <c r="D536" s="521"/>
      <c r="E536" s="194" t="e">
        <f>DATE(YEAR(E535),MONTH(E535)+3,DAY(E535)-1)</f>
        <v>#NUM!</v>
      </c>
      <c r="F536" s="195" t="e">
        <f t="shared" si="189"/>
        <v>#NUM!</v>
      </c>
      <c r="G536" s="196" t="e">
        <f t="shared" si="190"/>
        <v>#NUM!</v>
      </c>
      <c r="H536" s="195" t="e">
        <f t="shared" si="191"/>
        <v>#NUM!</v>
      </c>
      <c r="I536" s="244">
        <f>IF(J538&lt;13,J538,"")</f>
        <v>6</v>
      </c>
      <c r="J536" s="224">
        <f>J535+3</f>
        <v>3</v>
      </c>
      <c r="K536" s="501" t="str">
        <f t="shared" si="188"/>
        <v>+Inflat.-P</v>
      </c>
      <c r="L536" s="511" t="e">
        <f>IF(M529="Stufe A",IF(AND(L530="Auswahl treffen",D535&gt;=0,D535&lt;=1000),J529,IF(AND(L530="Vermögend und ambulant",D535&gt;8,D535&lt;=1000),130,IF(AND(L530="Vermögend und ambulant",D535&gt;4,D535&lt;=8),158,IF(AND(L530="Vermögend und ambulant",D535&gt;2,D535&lt;=4),192,IF(AND(L530="Vermögend und ambulant",D535&gt;1,D535&lt;=2),208,IF(AND(L530="Vermögend und ambulant",D535&gt;0,D535&lt;=1),298,IF(AND(L530="Vermögend und stationär",D535&gt;8,D535&lt;=1000),78,IF(AND(L530="Vermögend und stationär",D535&gt;4,D535&lt;=8),91,IF(AND(L530="Vermögend und stationär",D535&gt;2,D535&lt;=4),140,IF(AND(L530="Vermögend und stationär",D535&gt;1,D535&lt;=2),158,IF(AND(L530="Vermögend und stationär",D535&gt;0,D535&lt;=1),200,IF(AND(L530="Mittellos und ambulant",D535&gt;8,D535&lt;=1000),105,IF(AND(L530="Mittellos und ambulant",D535&gt;4,D535&lt;=8),122,IF(AND(L530="Mittellos und ambulant",D535&gt;2,D535&lt;=4),151,IF(AND(L530="Mittellos und ambulant",D535&gt;1,D535&lt;=2),170,IF(AND(L530="Mittellos und ambulant",D535&gt;0,D535&lt;=1),208,IF(AND(L530="Mittellos und stationär",D535&gt;8,D535&lt;=1000),62,IF(AND(L530="Mittellos und stationär",D535&gt;4,D535&lt;=8),87,IF(AND(L530="Mittellos und stationär",D535&gt;2,D535&lt;=4),124,IF(AND(L530="Mittellos und stationär",D535&gt;1,D535&lt;=2),129,IF(AND(L530="Mittellos und stationär",D535&gt;0,D535&lt;=1),194,""))))))))))))))))))))),IF(M529="Stufe B",IF(AND(L530="Auswahl treffen",D535&gt;=0,D535&lt;=1000),J529,IF(AND(L530="Vermögend und ambulant",D535&gt;8,D535&lt;=1000),161,IF(AND(L530="Vermögend und ambulant",D535&gt;4,D535&lt;=8),196,IF(AND(L530="Vermögend und ambulant",D535&gt;2,D535&lt;=4),238,IF(AND(L530="Vermögend und ambulant",D535&gt;1,D535&lt;=2),258,IF(AND(L530="Vermögend und ambulant",D535&gt;0,D535&lt;=1),370,IF(AND(L530="Vermögend und stationär",D535&gt;8,D535&lt;=1000),96,IF(AND(L530="Vermögend und stationär",D535&gt;4,D535&lt;=8),113,IF(AND(L530="Vermögend und stationär",D535&gt;2,D535&lt;=4),174,IF(AND(L530="Vermögend und stationär",D535&gt;1,D535&lt;=2),196,IF(AND(L530="Vermögend und stationär",D535&gt;0,D535&lt;=1),249,IF(AND(L530="Mittellos und ambulant",D535&gt;8,D535&lt;=1000),130,IF(AND(L530="Mittellos und ambulant",D535&gt;4,D535&lt;=8),151,IF(AND(L530="Mittellos und ambulant",D535&gt;2,D535&lt;=4),188,IF(AND(L530="Mittellos und ambulant",D535&gt;1,D535&lt;=2),211,IF(AND(L530="Mittellos und ambulant",D535&gt;0,D535&lt;=1),258,IF(AND(L530="Mittellos und stationär",D535&gt;8,D535&lt;=1000),78,IF(AND(L530="Mittellos und stationär",D535&gt;4,D535&lt;=8),107,IF(AND(L530="Mittellos und stationär",D535&gt;2,D535&lt;=4),154,IF(AND(L530="Mittellos und stationär",D535&gt;1,D535&lt;=2),158,IF(AND(L530="Mittellos und stationär",D535&gt;0,D535&lt;=1),241,""))))))))))))))))))))),IF(M529="Stufe C",IF(AND(L530="Auswahl treffen",D535&gt;=0,D535&lt;=1000),J529,IF(AND(L530="Vermögend und ambulant",D535&gt;8,D535&lt;=1000),211,IF(AND(L530="Vermögend und ambulant",D535&gt;4,D535&lt;=8),257,IF(AND(L530="Vermögend und ambulant",D535&gt;2,D535&lt;=4),312,IF(AND(L530="Vermögend und ambulant",D535&gt;1,D535&lt;=2),339,IF(AND(L530="Vermögend und ambulant",D535&gt;0,D535&lt;=1),486,IF(AND(L530="Vermögend und stationär",D535&gt;8,D535&lt;=1000),127,IF(AND(L530="Vermögend und stationär",D535&gt;4,D535&lt;=8),149,IF(AND(L530="Vermögend und stationär",D535&gt;2,D535&lt;=4),229,IF(AND(L530="Vermögend und stationär",D535&gt;1,D535&lt;=2),257,IF(AND(L530="Vermögend und stationär",D535&gt;0,D535&lt;=1),327,IF(AND(L530="Mittellos und ambulant",D535&gt;8,D535&lt;=1000),171,IF(AND(L530="Mittellos und ambulant",D535&gt;4,D535&lt;=8),198,IF(AND(L530="Mittellos und ambulant",D535&gt;2,D535&lt;=4),246,IF(AND(L530="Mittellos und ambulant",D535&gt;1,D535&lt;=2),277,IF(AND(L530="Mittellos und ambulant",D535&gt;0,D535&lt;=1),339,IF(AND(L530="Mittellos und stationär",D535&gt;8,D535&lt;=1000),102,IF(AND(L530="Mittellos und stationär",D535&gt;4,D535&lt;=8),141,IF(AND(L530="Mittellos und stationär",D535&gt;2,D535&lt;=4),202,IF(AND(L530="Mittellos und stationär",D535&gt;1,D535&lt;=2),208,IF(AND(L530="Mittellos und stationär",D535&gt;0,D535&lt;=1),317,""))))))))))))))))))))),"")))*3+(J529*90)</f>
        <v>#NUM!</v>
      </c>
      <c r="M536" s="507" t="str">
        <f>CONCATENATE(K536, K535)</f>
        <v>+Inflat.-P</v>
      </c>
      <c r="N536" s="206"/>
      <c r="O536" s="207"/>
      <c r="P536" s="206" t="s">
        <v>118</v>
      </c>
      <c r="Q536" s="226"/>
      <c r="R536" s="189"/>
      <c r="S536" s="203"/>
      <c r="T536" s="203"/>
      <c r="U536" s="204"/>
      <c r="V536" s="192"/>
      <c r="W536" s="203"/>
      <c r="X536" s="203"/>
      <c r="Y536" s="204"/>
      <c r="Z536" s="192"/>
      <c r="AA536" s="209" t="s">
        <v>118</v>
      </c>
      <c r="AB536" s="209" t="s">
        <v>117</v>
      </c>
      <c r="AC536" s="204" t="s">
        <v>26</v>
      </c>
      <c r="AD536" s="192"/>
      <c r="AE536" s="203"/>
      <c r="AF536" s="203"/>
      <c r="AG536" s="204"/>
      <c r="AH536" s="193"/>
      <c r="AI536" s="203"/>
      <c r="AJ536" s="203"/>
      <c r="AK536" s="375"/>
      <c r="AL536" s="348" t="s">
        <v>150</v>
      </c>
      <c r="AM536" s="354"/>
      <c r="AN536" s="354"/>
      <c r="AO536" s="354">
        <f>IF(SUM(P530:P538)=SUM(AA530:AA538), 0, SUM(P530:P538)-SUM(AA530:AA538))</f>
        <v>0</v>
      </c>
      <c r="AP536" s="354"/>
      <c r="AQ536" s="350">
        <f>AM536+AN536+AO536+AP536</f>
        <v>0</v>
      </c>
      <c r="AR536" s="769"/>
      <c r="AS536" s="769"/>
      <c r="AT536" s="769"/>
      <c r="BM536" s="335"/>
    </row>
    <row r="537" spans="1:65" ht="22.25" customHeight="1">
      <c r="A537" s="181">
        <f t="shared" si="184"/>
        <v>45292</v>
      </c>
      <c r="B537" s="486"/>
      <c r="C537" s="489" t="s">
        <v>158</v>
      </c>
      <c r="D537" s="522" t="e">
        <f>D535+1</f>
        <v>#NUM!</v>
      </c>
      <c r="E537" s="211" t="e">
        <f>DATE(YEAR(E536),MONTH(E536),DAY(E536)+1)</f>
        <v>#NUM!</v>
      </c>
      <c r="F537" s="227" t="e">
        <f t="shared" si="189"/>
        <v>#NUM!</v>
      </c>
      <c r="G537" s="228" t="e">
        <f t="shared" si="190"/>
        <v>#NUM!</v>
      </c>
      <c r="H537" s="227" t="e">
        <f t="shared" si="191"/>
        <v>#NUM!</v>
      </c>
      <c r="I537" s="231">
        <f>IF(J536&lt;13,J536,"")</f>
        <v>3</v>
      </c>
      <c r="J537" s="230">
        <f>J538+3</f>
        <v>9</v>
      </c>
      <c r="K537" s="501" t="str">
        <f t="shared" si="188"/>
        <v/>
      </c>
      <c r="L537" s="471"/>
      <c r="M537" s="473" t="e">
        <f ca="1">SUM(J530-E538)&amp;" Tage"</f>
        <v>#NUM!</v>
      </c>
      <c r="N537" s="216"/>
      <c r="O537" s="188"/>
      <c r="P537" s="188"/>
      <c r="Q537" s="217"/>
      <c r="R537" s="189"/>
      <c r="S537" s="190"/>
      <c r="T537" s="190"/>
      <c r="U537" s="191"/>
      <c r="V537" s="192"/>
      <c r="W537" s="190"/>
      <c r="X537" s="190"/>
      <c r="Y537" s="191"/>
      <c r="Z537" s="192"/>
      <c r="AA537" s="190"/>
      <c r="AB537" s="190"/>
      <c r="AC537" s="191"/>
      <c r="AD537" s="192"/>
      <c r="AE537" s="190"/>
      <c r="AF537" s="190"/>
      <c r="AG537" s="191"/>
      <c r="AH537" s="193"/>
      <c r="AI537" s="190"/>
      <c r="AJ537" s="190"/>
      <c r="AK537" s="374"/>
      <c r="AL537" s="348"/>
      <c r="AM537" s="354"/>
      <c r="AN537" s="354"/>
      <c r="AO537" s="354"/>
      <c r="AP537" s="354"/>
      <c r="AQ537" s="350"/>
      <c r="AR537" s="769"/>
      <c r="AS537" s="769"/>
      <c r="AT537" s="769"/>
      <c r="BM537" s="335"/>
    </row>
    <row r="538" spans="1:65" ht="22.25" customHeight="1">
      <c r="A538" s="181">
        <f t="shared" si="184"/>
        <v>45292</v>
      </c>
      <c r="B538" s="485"/>
      <c r="C538" s="490"/>
      <c r="D538" s="521"/>
      <c r="E538" s="218" t="e">
        <f>DATE(YEAR(E537),MONTH(E537)+3,DAY(E537)-1)</f>
        <v>#NUM!</v>
      </c>
      <c r="F538" s="227" t="e">
        <f t="shared" si="189"/>
        <v>#NUM!</v>
      </c>
      <c r="G538" s="228" t="e">
        <f t="shared" si="190"/>
        <v>#NUM!</v>
      </c>
      <c r="H538" s="227" t="e">
        <f t="shared" si="191"/>
        <v>#NUM!</v>
      </c>
      <c r="I538" s="231">
        <f>IF(J535&lt;13,J535,"")</f>
        <v>0</v>
      </c>
      <c r="J538" s="230">
        <f>J536+3</f>
        <v>6</v>
      </c>
      <c r="K538" s="506" t="str">
        <f t="shared" si="188"/>
        <v>+Inflat.-P</v>
      </c>
      <c r="L538" s="508" t="e">
        <f>IF(M529="Stufe A",IF(AND(L530="Auswahl treffen",D537&gt;=0,D537&lt;=1000),J529,IF(AND(L530="Vermögend und ambulant",D537&gt;8,D537&lt;=1000),130,IF(AND(L530="Vermögend und ambulant",D537&gt;4,D537&lt;=8),158,IF(AND(L530="Vermögend und ambulant",D537&gt;2,D537&lt;=4),192,IF(AND(L530="Vermögend und ambulant",D537&gt;1,D537&lt;=2),208,IF(AND(L530="Vermögend und ambulant",D537&gt;0,D537&lt;=1),298,IF(AND(L530="Vermögend und stationär",D537&gt;8,D537&lt;=1000),78,IF(AND(L530="Vermögend und stationär",D537&gt;4,D537&lt;=8),91,IF(AND(L530="Vermögend und stationär",D537&gt;2,D537&lt;=4),140,IF(AND(L530="Vermögend und stationär",D537&gt;1,D537&lt;=2),158,IF(AND(L530="Vermögend und stationär",D537&gt;0,D537&lt;=1),200,IF(AND(L530="Mittellos und ambulant",D537&gt;8,D537&lt;=1000),105,IF(AND(L530="Mittellos und ambulant",D537&gt;4,D537&lt;=8),122,IF(AND(L530="Mittellos und ambulant",D537&gt;2,D537&lt;=4),151,IF(AND(L530="Mittellos und ambulant",D537&gt;1,D537&lt;=2),170,IF(AND(L530="Mittellos und ambulant",D537&gt;0,D537&lt;=1),208,IF(AND(L530="Mittellos und stationär",D537&gt;8,D537&lt;=1000),62,IF(AND(L530="Mittellos und stationär",D537&gt;4,D537&lt;=8),87,IF(AND(L530="Mittellos und stationär",D537&gt;2,D537&lt;=4),124,IF(AND(L530="Mittellos und stationär",D537&gt;1,D537&lt;=2),129,IF(AND(L530="Mittellos und stationär",D537&gt;0,D537&lt;=1),194,""))))))))))))))))))))),IF(M529="Stufe B",IF(AND(L530="Auswahl treffen",D537&gt;=0,D537&lt;=1000),J529,IF(AND(L530="Vermögend und ambulant",D537&gt;8,D537&lt;=1000),161,IF(AND(L530="Vermögend und ambulant",D537&gt;4,D537&lt;=8),196,IF(AND(L530="Vermögend und ambulant",D537&gt;2,D537&lt;=4),238,IF(AND(L530="Vermögend und ambulant",D537&gt;1,D537&lt;=2),258,IF(AND(L530="Vermögend und ambulant",D537&gt;0,D537&lt;=1),370,IF(AND(L530="Vermögend und stationär",D537&gt;8,D537&lt;=1000),96,IF(AND(L530="Vermögend und stationär",D537&gt;4,D537&lt;=8),113,IF(AND(L530="Vermögend und stationär",D537&gt;2,D537&lt;=4),174,IF(AND(L530="Vermögend und stationär",D537&gt;1,D537&lt;=2),196,IF(AND(L530="Vermögend und stationär",D537&gt;0,D537&lt;=1),249,IF(AND(L530="Mittellos und ambulant",D537&gt;8,D537&lt;=1000),130,IF(AND(L530="Mittellos und ambulant",D537&gt;4,D537&lt;=8),151,IF(AND(L530="Mittellos und ambulant",D537&gt;2,D537&lt;=4),188,IF(AND(L530="Mittellos und ambulant",D537&gt;1,D537&lt;=2),211,IF(AND(L530="Mittellos und ambulant",D537&gt;0,D537&lt;=1),258,IF(AND(L530="Mittellos und stationär",D537&gt;8,D537&lt;=1000),78,IF(AND(L530="Mittellos und stationär",D537&gt;4,D537&lt;=8),107,IF(AND(L530="Mittellos und stationär",D537&gt;2,D537&lt;=4),154,IF(AND(L530="Mittellos und stationär",D537&gt;1,D537&lt;=2),158,IF(AND(L530="Mittellos und stationär",D537&gt;0,D537&lt;=1),241,""))))))))))))))))))))),IF(M529="Stufe C",IF(AND(L530="Auswahl treffen",D537&gt;=0,D537&lt;=1000),J529,IF(AND(L530="Vermögend und ambulant",D537&gt;8,D537&lt;=1000),211,IF(AND(L530="Vermögend und ambulant",D537&gt;4,D537&lt;=8),257,IF(AND(L530="Vermögend und ambulant",D537&gt;2,D537&lt;=4),312,IF(AND(L530="Vermögend und ambulant",D537&gt;1,D537&lt;=2),339,IF(AND(L530="Vermögend und ambulant",D537&gt;0,D537&lt;=1),486,IF(AND(L530="Vermögend und stationär",D537&gt;8,D537&lt;=1000),127,IF(AND(L530="Vermögend und stationär",D537&gt;4,D537&lt;=8),149,IF(AND(L530="Vermögend und stationär",D537&gt;2,D537&lt;=4),229,IF(AND(L530="Vermögend und stationär",D537&gt;1,D537&lt;=2),257,IF(AND(L530="Vermögend und stationär",D537&gt;0,D537&lt;=1),327,IF(AND(L530="Mittellos und ambulant",D537&gt;8,D537&lt;=1000),171,IF(AND(L530="Mittellos und ambulant",D537&gt;4,D537&lt;=8),198,IF(AND(L530="Mittellos und ambulant",D537&gt;2,D537&lt;=4),246,IF(AND(L530="Mittellos und ambulant",D537&gt;1,D537&lt;=2),277,IF(AND(L530="Mittellos und ambulant",D537&gt;0,D537&lt;=1),339,IF(AND(L530="Mittellos und stationär",D537&gt;8,D537&lt;=1000),102,IF(AND(L530="Mittellos und stationär",D537&gt;4,D537&lt;=8),141,IF(AND(L530="Mittellos und stationär",D537&gt;2,D537&lt;=4),202,IF(AND(L530="Mittellos und stationär",D537&gt;1,D537&lt;=2),208,IF(AND(L530="Mittellos und stationär",D537&gt;0,D537&lt;=1),317,""))))))))))))))))))))),"")))*3+(J529*90)</f>
        <v>#NUM!</v>
      </c>
      <c r="M538" s="507" t="str">
        <f>CONCATENATE(K538, K537)</f>
        <v>+Inflat.-P</v>
      </c>
      <c r="N538" s="216"/>
      <c r="O538" s="188"/>
      <c r="P538" s="188"/>
      <c r="Q538" s="217" t="s">
        <v>118</v>
      </c>
      <c r="R538" s="189"/>
      <c r="S538" s="190"/>
      <c r="T538" s="190"/>
      <c r="U538" s="191"/>
      <c r="V538" s="192"/>
      <c r="W538" s="190"/>
      <c r="X538" s="190"/>
      <c r="Y538" s="191"/>
      <c r="Z538" s="192"/>
      <c r="AA538" s="190"/>
      <c r="AB538" s="190"/>
      <c r="AC538" s="191"/>
      <c r="AD538" s="192"/>
      <c r="AE538" s="190" t="s">
        <v>118</v>
      </c>
      <c r="AF538" s="190" t="s">
        <v>117</v>
      </c>
      <c r="AG538" s="191" t="s">
        <v>26</v>
      </c>
      <c r="AH538" s="193"/>
      <c r="AI538" s="190" t="s">
        <v>118</v>
      </c>
      <c r="AJ538" s="190" t="s">
        <v>117</v>
      </c>
      <c r="AK538" s="374" t="s">
        <v>26</v>
      </c>
      <c r="AL538" s="348" t="s">
        <v>151</v>
      </c>
      <c r="AM538" s="354"/>
      <c r="AN538" s="354"/>
      <c r="AO538" s="354"/>
      <c r="AP538" s="354">
        <f>IF(SUM(Q530:Q538)=SUM(AE530:AE538,AI530:AI538), 0, SUM(Q530:Q538)-SUM(AE530:AE538,AI530:AI538))</f>
        <v>0</v>
      </c>
      <c r="AQ538" s="350">
        <f>AM538+AN538+AO538+AP538</f>
        <v>0</v>
      </c>
      <c r="AR538" s="769"/>
      <c r="AS538" s="769"/>
      <c r="AT538" s="769"/>
      <c r="BM538" s="335"/>
    </row>
    <row r="539" spans="1:65" ht="22" customHeight="1">
      <c r="A539" s="181">
        <f t="shared" si="184"/>
        <v>45292</v>
      </c>
      <c r="B539" s="232" t="s">
        <v>74</v>
      </c>
      <c r="C539" s="233" t="s">
        <v>75</v>
      </c>
      <c r="D539" s="234" t="s">
        <v>76</v>
      </c>
      <c r="E539" s="235" t="s">
        <v>11</v>
      </c>
      <c r="F539" s="235" t="s">
        <v>4</v>
      </c>
      <c r="G539" s="235" t="s">
        <v>5</v>
      </c>
      <c r="H539" s="235" t="s">
        <v>6</v>
      </c>
      <c r="I539" s="236" t="s">
        <v>77</v>
      </c>
      <c r="J539" s="306"/>
      <c r="K539" s="501" t="str">
        <f t="shared" si="188"/>
        <v/>
      </c>
      <c r="L539" s="306" t="str">
        <f>IFERROR(VLOOKUP(B540,'Aktuelle Einnahmen'!A2:J104,10,0),"")</f>
        <v/>
      </c>
      <c r="M539" s="510" t="str">
        <f>M529</f>
        <v>Stufe C</v>
      </c>
      <c r="N539" s="237"/>
      <c r="O539" s="238"/>
      <c r="P539" s="238"/>
      <c r="Q539" s="239"/>
      <c r="R539" s="240"/>
      <c r="S539" s="241"/>
      <c r="T539" s="241"/>
      <c r="U539" s="242"/>
      <c r="V539" s="243"/>
      <c r="W539" s="241"/>
      <c r="X539" s="241"/>
      <c r="Y539" s="242"/>
      <c r="Z539" s="243"/>
      <c r="AA539" s="241"/>
      <c r="AB539" s="241"/>
      <c r="AC539" s="242"/>
      <c r="AD539" s="243"/>
      <c r="AE539" s="241"/>
      <c r="AF539" s="241"/>
      <c r="AG539" s="242"/>
      <c r="AH539" s="240"/>
      <c r="AI539" s="241"/>
      <c r="AJ539" s="241"/>
      <c r="AK539" s="377"/>
      <c r="AL539" s="347"/>
      <c r="AM539" s="353"/>
      <c r="AN539" s="353"/>
      <c r="AO539" s="353"/>
      <c r="AP539" s="353"/>
      <c r="AQ539" s="349"/>
      <c r="AR539" s="768"/>
      <c r="AS539" s="768"/>
      <c r="AT539" s="768"/>
      <c r="BM539" s="335"/>
    </row>
    <row r="540" spans="1:65" ht="23" customHeight="1">
      <c r="A540" s="181">
        <f t="shared" si="184"/>
        <v>45292</v>
      </c>
      <c r="B540" s="182">
        <v>54</v>
      </c>
      <c r="C540" s="245">
        <f>IFERROR(VLOOKUP($B540,'Aktuelle Einnahmen'!A2:G104,3,0),"")</f>
        <v>0</v>
      </c>
      <c r="D540" s="246">
        <f>IFERROR(VLOOKUP($B540,'Aktuelle Einnahmen'!A2:G104,2,0),"")</f>
        <v>0</v>
      </c>
      <c r="E540" s="247">
        <f>IFERROR(VLOOKUP($B540,'Aktuelle Einnahmen'!A2:G104,4,0),"")</f>
        <v>0</v>
      </c>
      <c r="F540" s="94">
        <f>IFERROR(VLOOKUP($B540,'Aktuelle Einnahmen'!A2:G104,5,0),"")</f>
        <v>0</v>
      </c>
      <c r="G540" s="94">
        <f>IFERROR(VLOOKUP($B540,'Aktuelle Einnahmen'!A2:G104,6,0),"")</f>
        <v>0</v>
      </c>
      <c r="H540" s="94">
        <f>IFERROR(VLOOKUP($B540,'Aktuelle Einnahmen'!A2:G104,7,0),"")</f>
        <v>0</v>
      </c>
      <c r="I540" s="186" t="e">
        <f>DATE(H540,G540,F540)</f>
        <v>#NUM!</v>
      </c>
      <c r="J540" s="472">
        <f ca="1">J530</f>
        <v>45475</v>
      </c>
      <c r="K540" s="506" t="str">
        <f t="shared" si="188"/>
        <v>+Inflat.-P</v>
      </c>
      <c r="L540" s="1262" t="str">
        <f>IFERROR(VLOOKUP(B520,'Aktuelle Einnahmen'!A22:I124,9,0),"")</f>
        <v>Auswahl treffen</v>
      </c>
      <c r="M540" s="1263"/>
      <c r="N540" s="261"/>
      <c r="O540" s="261"/>
      <c r="P540" s="261"/>
      <c r="Q540" s="261"/>
      <c r="R540" s="189"/>
      <c r="S540" s="190"/>
      <c r="T540" s="190"/>
      <c r="U540" s="191"/>
      <c r="V540" s="192"/>
      <c r="W540" s="190"/>
      <c r="X540" s="190"/>
      <c r="Y540" s="191"/>
      <c r="Z540" s="192"/>
      <c r="AA540" s="190"/>
      <c r="AB540" s="190"/>
      <c r="AC540" s="191"/>
      <c r="AD540" s="192"/>
      <c r="AE540" s="190"/>
      <c r="AF540" s="190"/>
      <c r="AG540" s="191"/>
      <c r="AH540" s="193"/>
      <c r="AI540" s="190"/>
      <c r="AJ540" s="190"/>
      <c r="AK540" s="374"/>
      <c r="AL540" s="348"/>
      <c r="AM540" s="354"/>
      <c r="AN540" s="354"/>
      <c r="AO540" s="354"/>
      <c r="AP540" s="354"/>
      <c r="AQ540" s="350"/>
      <c r="AR540" s="769"/>
      <c r="AS540" s="769"/>
      <c r="AT540" s="769"/>
      <c r="BM540" s="335"/>
    </row>
    <row r="541" spans="1:65" ht="22.25" customHeight="1">
      <c r="A541" s="181">
        <f t="shared" si="184"/>
        <v>45292</v>
      </c>
      <c r="B541" s="484" t="e">
        <f>DAY(I540)</f>
        <v>#NUM!</v>
      </c>
      <c r="C541" s="489" t="s">
        <v>158</v>
      </c>
      <c r="D541" s="520" t="e">
        <f>(I541*4)+J541/3+1</f>
        <v>#NUM!</v>
      </c>
      <c r="E541" s="194" t="e">
        <f>J543+1</f>
        <v>#NUM!</v>
      </c>
      <c r="F541" s="195" t="e">
        <f t="shared" ref="F541:F548" si="192">DAY(E541)</f>
        <v>#NUM!</v>
      </c>
      <c r="G541" s="196" t="e">
        <f t="shared" ref="G541:G548" si="193">MONTH(E541)</f>
        <v>#NUM!</v>
      </c>
      <c r="H541" s="195" t="e">
        <f t="shared" ref="H541:H548" si="194">YEAR(E541)</f>
        <v>#NUM!</v>
      </c>
      <c r="I541" s="197" t="e">
        <f>H541-(H540+2000)</f>
        <v>#NUM!</v>
      </c>
      <c r="J541" s="198" t="e">
        <f>G541-G540</f>
        <v>#NUM!</v>
      </c>
      <c r="K541" s="506" t="str">
        <f>L539</f>
        <v/>
      </c>
      <c r="L541" s="469"/>
      <c r="M541" s="473" t="e">
        <f ca="1">SUM(J540-E542)&amp;" Tage"</f>
        <v>#NUM!</v>
      </c>
      <c r="N541" s="206"/>
      <c r="O541" s="201"/>
      <c r="P541" s="201"/>
      <c r="Q541" s="202"/>
      <c r="R541" s="189"/>
      <c r="S541" s="203"/>
      <c r="T541" s="203"/>
      <c r="U541" s="204"/>
      <c r="V541" s="192"/>
      <c r="W541" s="203"/>
      <c r="X541" s="203"/>
      <c r="Y541" s="204"/>
      <c r="Z541" s="192"/>
      <c r="AA541" s="203"/>
      <c r="AB541" s="203"/>
      <c r="AC541" s="204"/>
      <c r="AD541" s="192"/>
      <c r="AE541" s="203"/>
      <c r="AF541" s="203"/>
      <c r="AG541" s="204"/>
      <c r="AH541" s="193"/>
      <c r="AI541" s="203"/>
      <c r="AJ541" s="203"/>
      <c r="AK541" s="375"/>
      <c r="AL541" s="348"/>
      <c r="AM541" s="354"/>
      <c r="AN541" s="354"/>
      <c r="AO541" s="354"/>
      <c r="AP541" s="354"/>
      <c r="AQ541" s="350"/>
      <c r="AR541" s="769"/>
      <c r="AS541" s="769"/>
      <c r="AT541" s="769"/>
      <c r="BM541" s="335"/>
    </row>
    <row r="542" spans="1:65" ht="22.25" customHeight="1">
      <c r="A542" s="181">
        <f t="shared" si="184"/>
        <v>45292</v>
      </c>
      <c r="B542" s="485"/>
      <c r="C542" s="490"/>
      <c r="D542" s="521"/>
      <c r="E542" s="194" t="e">
        <f>DATE(YEAR(E541),MONTH(E541)+3,DAY(E541)-1)</f>
        <v>#NUM!</v>
      </c>
      <c r="F542" s="195" t="e">
        <f t="shared" si="192"/>
        <v>#NUM!</v>
      </c>
      <c r="G542" s="196" t="e">
        <f t="shared" si="193"/>
        <v>#NUM!</v>
      </c>
      <c r="H542" s="195" t="e">
        <f t="shared" si="194"/>
        <v>#NUM!</v>
      </c>
      <c r="I542" s="244">
        <v>-1</v>
      </c>
      <c r="J542" s="198" t="e">
        <f>F541-F540</f>
        <v>#NUM!</v>
      </c>
      <c r="K542" s="506" t="str">
        <f t="shared" si="188"/>
        <v>+Inflat.-P</v>
      </c>
      <c r="L542" s="511" t="e">
        <f>IF(M539="Stufe A",IF(AND(L540="Auswahl treffen",D541&gt;=0,D541&lt;=1000),J539,IF(AND(L540="Vermögend und ambulant",D541&gt;8,D541&lt;=1000),130,IF(AND(L540="Vermögend und ambulant",D541&gt;4,D541&lt;=8),158,IF(AND(L540="Vermögend und ambulant",D541&gt;2,D541&lt;=4),192,IF(AND(L540="Vermögend und ambulant",D541&gt;1,D541&lt;=2),208,IF(AND(L540="Vermögend und ambulant",D541&gt;0,D541&lt;=1),298,IF(AND(L540="Vermögend und stationär",D541&gt;8,D541&lt;=1000),78,IF(AND(L540="Vermögend und stationär",D541&gt;4,D541&lt;=8),91,IF(AND(L540="Vermögend und stationär",D541&gt;2,D541&lt;=4),140,IF(AND(L540="Vermögend und stationär",D541&gt;1,D541&lt;=2),158,IF(AND(L540="Vermögend und stationär",D541&gt;0,D541&lt;=1),200,IF(AND(L540="Mittellos und ambulant",D541&gt;8,D541&lt;=1000),105,IF(AND(L540="Mittellos und ambulant",D541&gt;4,D541&lt;=8),122,IF(AND(L540="Mittellos und ambulant",D541&gt;2,D541&lt;=4),151,IF(AND(L540="Mittellos und ambulant",D541&gt;1,D541&lt;=2),170,IF(AND(L540="Mittellos und ambulant",D541&gt;0,D541&lt;=1),208,IF(AND(L540="Mittellos und stationär",D541&gt;8,D541&lt;=1000),62,IF(AND(L540="Mittellos und stationär",D541&gt;4,D541&lt;=8),87,IF(AND(L540="Mittellos und stationär",D541&gt;2,D541&lt;=4),124,IF(AND(L540="Mittellos und stationär",D541&gt;1,D541&lt;=2),129,IF(AND(L540="Mittellos und stationär",D541&gt;0,D541&lt;=1),194,""))))))))))))))))))))),IF(M539="Stufe B",IF(AND(L540="Auswahl treffen",D541&gt;=0,D541&lt;=1000),J539,IF(AND(L540="Vermögend und ambulant",D541&gt;8,D541&lt;=1000),161,IF(AND(L540="Vermögend und ambulant",D541&gt;4,D541&lt;=8),196,IF(AND(L540="Vermögend und ambulant",D541&gt;2,D541&lt;=4),238,IF(AND(L540="Vermögend und ambulant",D541&gt;1,D541&lt;=2),258,IF(AND(L540="Vermögend und ambulant",D541&gt;0,D541&lt;=1),370,IF(AND(L540="Vermögend und stationär",D541&gt;8,D541&lt;=1000),96,IF(AND(L540="Vermögend und stationär",D541&gt;4,D541&lt;=8),113,IF(AND(L540="Vermögend und stationär",D541&gt;2,D541&lt;=4),174,IF(AND(L540="Vermögend und stationär",D541&gt;1,D541&lt;=2),196,IF(AND(L540="Vermögend und stationär",D541&gt;0,D541&lt;=1),249,IF(AND(L540="Mittellos und ambulant",D541&gt;8,D541&lt;=1000),130,IF(AND(L540="Mittellos und ambulant",D541&gt;4,D541&lt;=8),151,IF(AND(L540="Mittellos und ambulant",D541&gt;2,D541&lt;=4),188,IF(AND(L540="Mittellos und ambulant",D541&gt;1,D541&lt;=2),211,IF(AND(L540="Mittellos und ambulant",D541&gt;0,D541&lt;=1),258,IF(AND(L540="Mittellos und stationär",D541&gt;8,D541&lt;=1000),78,IF(AND(L540="Mittellos und stationär",D541&gt;4,D541&lt;=8),107,IF(AND(L540="Mittellos und stationär",D541&gt;2,D541&lt;=4),154,IF(AND(L540="Mittellos und stationär",D541&gt;1,D541&lt;=2),158,IF(AND(L540="Mittellos und stationär",D541&gt;0,D541&lt;=1),241,""))))))))))))))))))))),IF(M539="Stufe C",IF(AND(L540="Auswahl treffen",D541&gt;=0,D541&lt;=1000),J539,IF(AND(L540="Vermögend und ambulant",D541&gt;8,D541&lt;=1000),211,IF(AND(L540="Vermögend und ambulant",D541&gt;4,D541&lt;=8),257,IF(AND(L540="Vermögend und ambulant",D541&gt;2,D541&lt;=4),312,IF(AND(L540="Vermögend und ambulant",D541&gt;1,D541&lt;=2),339,IF(AND(L540="Vermögend und ambulant",D541&gt;0,D541&lt;=1),486,IF(AND(L540="Vermögend und stationär",D541&gt;8,D541&lt;=1000),127,IF(AND(L540="Vermögend und stationär",D541&gt;4,D541&lt;=8),149,IF(AND(L540="Vermögend und stationär",D541&gt;2,D541&lt;=4),229,IF(AND(L540="Vermögend und stationär",D541&gt;1,D541&lt;=2),257,IF(AND(L540="Vermögend und stationär",D541&gt;0,D541&lt;=1),327,IF(AND(L540="Mittellos und ambulant",D541&gt;8,D541&lt;=1000),171,IF(AND(L540="Mittellos und ambulant",D541&gt;4,D541&lt;=8),198,IF(AND(L540="Mittellos und ambulant",D541&gt;2,D541&lt;=4),246,IF(AND(L540="Mittellos und ambulant",D541&gt;1,D541&lt;=2),277,IF(AND(L540="Mittellos und ambulant",D541&gt;0,D541&lt;=1),339,IF(AND(L540="Mittellos und stationär",D541&gt;8,D541&lt;=1000),102,IF(AND(L540="Mittellos und stationär",D541&gt;4,D541&lt;=8),141,IF(AND(L540="Mittellos und stationär",D541&gt;2,D541&lt;=4),202,IF(AND(L540="Mittellos und stationär",D541&gt;1,D541&lt;=2),208,IF(AND(L540="Mittellos und stationär",D541&gt;0,D541&lt;=1),317,""))))))))))))))))))))),"")))*3+(J539*90)</f>
        <v>#NUM!</v>
      </c>
      <c r="M542" s="507" t="str">
        <f>CONCATENATE(K542, K541)</f>
        <v>+Inflat.-P</v>
      </c>
      <c r="N542" s="206" t="s">
        <v>118</v>
      </c>
      <c r="O542" s="207"/>
      <c r="P542" s="207"/>
      <c r="Q542" s="208"/>
      <c r="R542" s="187"/>
      <c r="S542" s="209" t="s">
        <v>118</v>
      </c>
      <c r="T542" s="201" t="s">
        <v>117</v>
      </c>
      <c r="U542" s="210" t="s">
        <v>26</v>
      </c>
      <c r="V542" s="192"/>
      <c r="W542" s="203"/>
      <c r="X542" s="203"/>
      <c r="Y542" s="210"/>
      <c r="Z542" s="192"/>
      <c r="AA542" s="203"/>
      <c r="AB542" s="203"/>
      <c r="AC542" s="210"/>
      <c r="AD542" s="192"/>
      <c r="AE542" s="203"/>
      <c r="AF542" s="203"/>
      <c r="AG542" s="210"/>
      <c r="AH542" s="193"/>
      <c r="AI542" s="203"/>
      <c r="AJ542" s="203"/>
      <c r="AK542" s="376"/>
      <c r="AL542" s="348" t="s">
        <v>148</v>
      </c>
      <c r="AM542" s="354">
        <f>IF(SUM(N540:N548)=SUM(S540:S548), 0, SUM(N540:N548)-SUM(S540:S548))</f>
        <v>0</v>
      </c>
      <c r="AN542" s="354"/>
      <c r="AO542" s="354"/>
      <c r="AP542" s="354"/>
      <c r="AQ542" s="350">
        <f>AM542+AN542+AO542+AP542</f>
        <v>0</v>
      </c>
      <c r="AR542" s="769"/>
      <c r="AS542" s="769"/>
      <c r="AT542" s="769"/>
      <c r="BM542" s="335"/>
    </row>
    <row r="543" spans="1:65" ht="22.25" customHeight="1">
      <c r="A543" s="181">
        <f t="shared" si="184"/>
        <v>45292</v>
      </c>
      <c r="B543" s="484" t="e">
        <f>MONTH(I540)</f>
        <v>#NUM!</v>
      </c>
      <c r="C543" s="489" t="s">
        <v>158</v>
      </c>
      <c r="D543" s="522" t="e">
        <f>D541+1</f>
        <v>#NUM!</v>
      </c>
      <c r="E543" s="211" t="e">
        <f>DATE(YEAR(E542),MONTH(E542),DAY(E542)+1)</f>
        <v>#NUM!</v>
      </c>
      <c r="F543" s="212" t="e">
        <f t="shared" si="192"/>
        <v>#NUM!</v>
      </c>
      <c r="G543" s="213" t="e">
        <f t="shared" si="193"/>
        <v>#NUM!</v>
      </c>
      <c r="H543" s="212" t="e">
        <f t="shared" si="194"/>
        <v>#NUM!</v>
      </c>
      <c r="I543" s="214" t="str">
        <f>IF(D540&lt;&gt;0,"-1T","")</f>
        <v/>
      </c>
      <c r="J543" s="215" t="e">
        <f>DATE($B545,I544,$B541)</f>
        <v>#NUM!</v>
      </c>
      <c r="K543" s="501" t="str">
        <f t="shared" si="188"/>
        <v/>
      </c>
      <c r="L543" s="470"/>
      <c r="M543" s="473" t="e">
        <f ca="1">SUM(J540-E544)&amp;" Tage"</f>
        <v>#NUM!</v>
      </c>
      <c r="N543" s="216"/>
      <c r="O543" s="217"/>
      <c r="P543" s="188"/>
      <c r="Q543" s="217"/>
      <c r="R543" s="189"/>
      <c r="S543" s="190"/>
      <c r="T543" s="190"/>
      <c r="U543" s="191"/>
      <c r="V543" s="192"/>
      <c r="W543" s="190"/>
      <c r="X543" s="190"/>
      <c r="Y543" s="191"/>
      <c r="Z543" s="192"/>
      <c r="AA543" s="190"/>
      <c r="AB543" s="190"/>
      <c r="AC543" s="191"/>
      <c r="AD543" s="192"/>
      <c r="AE543" s="190"/>
      <c r="AF543" s="190"/>
      <c r="AG543" s="191"/>
      <c r="AH543" s="193"/>
      <c r="AI543" s="190"/>
      <c r="AJ543" s="190"/>
      <c r="AK543" s="374"/>
      <c r="AL543" s="348"/>
      <c r="AM543" s="354"/>
      <c r="AN543" s="354"/>
      <c r="AO543" s="354"/>
      <c r="AP543" s="354"/>
      <c r="AQ543" s="350"/>
      <c r="AR543" s="769"/>
      <c r="AS543" s="769"/>
      <c r="AT543" s="769"/>
      <c r="BM543" s="335"/>
    </row>
    <row r="544" spans="1:65" ht="22.25" customHeight="1">
      <c r="A544" s="181">
        <f t="shared" si="184"/>
        <v>45292</v>
      </c>
      <c r="B544" s="485"/>
      <c r="C544" s="490"/>
      <c r="D544" s="521"/>
      <c r="E544" s="218" t="e">
        <f>DATE(YEAR(E543),MONTH(E543)+3,DAY(E543)-1)</f>
        <v>#NUM!</v>
      </c>
      <c r="F544" s="212" t="e">
        <f t="shared" si="192"/>
        <v>#NUM!</v>
      </c>
      <c r="G544" s="213" t="e">
        <f t="shared" si="193"/>
        <v>#NUM!</v>
      </c>
      <c r="H544" s="212" t="e">
        <f t="shared" si="194"/>
        <v>#NUM!</v>
      </c>
      <c r="I544" s="219">
        <f>MAX(I545:I548)</f>
        <v>9</v>
      </c>
      <c r="J544" s="220" t="e">
        <f>DATE(YEAR(J543)+1,MONTH(J543),DAY(J543))</f>
        <v>#NUM!</v>
      </c>
      <c r="K544" s="501" t="str">
        <f t="shared" si="188"/>
        <v>+Inflat.-P</v>
      </c>
      <c r="L544" s="508" t="e">
        <f>IF(M539="Stufe A",IF(AND(L540="Auswahl treffen",D543&gt;=0,D543&lt;=1000),J539,IF(AND(L540="Vermögend und ambulant",D543&gt;8,D543&lt;=1000),130,IF(AND(L540="Vermögend und ambulant",D543&gt;4,D543&lt;=8),158,IF(AND(L540="Vermögend und ambulant",D543&gt;2,D543&lt;=4),192,IF(AND(L540="Vermögend und ambulant",D543&gt;1,D543&lt;=2),208,IF(AND(L540="Vermögend und ambulant",D543&gt;0,D543&lt;=1),298,IF(AND(L540="Vermögend und stationär",D543&gt;8,D543&lt;=1000),78,IF(AND(L540="Vermögend und stationär",D543&gt;4,D543&lt;=8),91,IF(AND(L540="Vermögend und stationär",D543&gt;2,D543&lt;=4),140,IF(AND(L540="Vermögend und stationär",D543&gt;1,D543&lt;=2),158,IF(AND(L540="Vermögend und stationär",D543&gt;0,D543&lt;=1),200,IF(AND(L540="Mittellos und ambulant",D543&gt;8,D543&lt;=1000),105,IF(AND(L540="Mittellos und ambulant",D543&gt;4,D543&lt;=8),122,IF(AND(L540="Mittellos und ambulant",D543&gt;2,D543&lt;=4),151,IF(AND(L540="Mittellos und ambulant",D543&gt;1,D543&lt;=2),170,IF(AND(L540="Mittellos und ambulant",D543&gt;0,D543&lt;=1),208,IF(AND(L540="Mittellos und stationär",D543&gt;8,D543&lt;=1000),62,IF(AND(L540="Mittellos und stationär",D543&gt;4,D543&lt;=8),87,IF(AND(L540="Mittellos und stationär",D543&gt;2,D543&lt;=4),124,IF(AND(L540="Mittellos und stationär",D543&gt;1,D543&lt;=2),129,IF(AND(L540="Mittellos und stationär",D543&gt;0,D543&lt;=1),194,""))))))))))))))))))))),IF(M539="Stufe B",IF(AND(L540="Auswahl treffen",D543&gt;=0,D543&lt;=1000),J539,IF(AND(L540="Vermögend und ambulant",D543&gt;8,D543&lt;=1000),161,IF(AND(L540="Vermögend und ambulant",D543&gt;4,D543&lt;=8),196,IF(AND(L540="Vermögend und ambulant",D543&gt;2,D543&lt;=4),238,IF(AND(L540="Vermögend und ambulant",D543&gt;1,D543&lt;=2),258,IF(AND(L540="Vermögend und ambulant",D543&gt;0,D543&lt;=1),370,IF(AND(L540="Vermögend und stationär",D543&gt;8,D543&lt;=1000),96,IF(AND(L540="Vermögend und stationär",D543&gt;4,D543&lt;=8),113,IF(AND(L540="Vermögend und stationär",D543&gt;2,D543&lt;=4),174,IF(AND(L540="Vermögend und stationär",D543&gt;1,D543&lt;=2),196,IF(AND(L540="Vermögend und stationär",D543&gt;0,D543&lt;=1),249,IF(AND(L540="Mittellos und ambulant",D543&gt;8,D543&lt;=1000),130,IF(AND(L540="Mittellos und ambulant",D543&gt;4,D543&lt;=8),151,IF(AND(L540="Mittellos und ambulant",D543&gt;2,D543&lt;=4),188,IF(AND(L540="Mittellos und ambulant",D543&gt;1,D543&lt;=2),211,IF(AND(L540="Mittellos und ambulant",D543&gt;0,D543&lt;=1),258,IF(AND(L540="Mittellos und stationär",D543&gt;8,D543&lt;=1000),78,IF(AND(L540="Mittellos und stationär",D543&gt;4,D543&lt;=8),107,IF(AND(L540="Mittellos und stationär",D543&gt;2,D543&lt;=4),154,IF(AND(L540="Mittellos und stationär",D543&gt;1,D543&lt;=2),158,IF(AND(L540="Mittellos und stationär",D543&gt;0,D543&lt;=1),241,""))))))))))))))))))))),IF(M539="Stufe C",IF(AND(L540="Auswahl treffen",D543&gt;=0,D543&lt;=1000),J539,IF(AND(L540="Vermögend und ambulant",D543&gt;8,D543&lt;=1000),211,IF(AND(L540="Vermögend und ambulant",D543&gt;4,D543&lt;=8),257,IF(AND(L540="Vermögend und ambulant",D543&gt;2,D543&lt;=4),312,IF(AND(L540="Vermögend und ambulant",D543&gt;1,D543&lt;=2),339,IF(AND(L540="Vermögend und ambulant",D543&gt;0,D543&lt;=1),486,IF(AND(L540="Vermögend und stationär",D543&gt;8,D543&lt;=1000),127,IF(AND(L540="Vermögend und stationär",D543&gt;4,D543&lt;=8),149,IF(AND(L540="Vermögend und stationär",D543&gt;2,D543&lt;=4),229,IF(AND(L540="Vermögend und stationär",D543&gt;1,D543&lt;=2),257,IF(AND(L540="Vermögend und stationär",D543&gt;0,D543&lt;=1),327,IF(AND(L540="Mittellos und ambulant",D543&gt;8,D543&lt;=1000),171,IF(AND(L540="Mittellos und ambulant",D543&gt;4,D543&lt;=8),198,IF(AND(L540="Mittellos und ambulant",D543&gt;2,D543&lt;=4),246,IF(AND(L540="Mittellos und ambulant",D543&gt;1,D543&lt;=2),277,IF(AND(L540="Mittellos und ambulant",D543&gt;0,D543&lt;=1),339,IF(AND(L540="Mittellos und stationär",D543&gt;8,D543&lt;=1000),102,IF(AND(L540="Mittellos und stationär",D543&gt;4,D543&lt;=8),141,IF(AND(L540="Mittellos und stationär",D543&gt;2,D543&lt;=4),202,IF(AND(L540="Mittellos und stationär",D543&gt;1,D543&lt;=2),208,IF(AND(L540="Mittellos und stationär",D543&gt;0,D543&lt;=1),317,""))))))))))))))))))))),"")))*3+(J539*90)</f>
        <v>#NUM!</v>
      </c>
      <c r="M544" s="507" t="str">
        <f>CONCATENATE(K544, K543)</f>
        <v>+Inflat.-P</v>
      </c>
      <c r="N544" s="216"/>
      <c r="O544" s="188" t="s">
        <v>118</v>
      </c>
      <c r="P544" s="188"/>
      <c r="Q544" s="221"/>
      <c r="R544" s="199"/>
      <c r="S544" s="190"/>
      <c r="T544" s="190"/>
      <c r="U544" s="191"/>
      <c r="V544" s="192"/>
      <c r="W544" s="222" t="s">
        <v>118</v>
      </c>
      <c r="X544" s="222" t="s">
        <v>117</v>
      </c>
      <c r="Y544" s="191" t="s">
        <v>26</v>
      </c>
      <c r="Z544" s="192"/>
      <c r="AA544" s="190"/>
      <c r="AB544" s="190"/>
      <c r="AC544" s="191"/>
      <c r="AD544" s="192"/>
      <c r="AE544" s="190"/>
      <c r="AF544" s="190"/>
      <c r="AG544" s="191"/>
      <c r="AH544" s="193"/>
      <c r="AI544" s="190"/>
      <c r="AJ544" s="190"/>
      <c r="AK544" s="374"/>
      <c r="AL544" s="348" t="s">
        <v>149</v>
      </c>
      <c r="AM544" s="354"/>
      <c r="AN544" s="354">
        <f>IF(SUM(O540:O548)=SUM(W540:W548), 0, SUM(O540:O548)-SUM(W540:W548))</f>
        <v>0</v>
      </c>
      <c r="AO544" s="354"/>
      <c r="AP544" s="354"/>
      <c r="AQ544" s="350">
        <f>AM544+AN544+AO544+AP544</f>
        <v>0</v>
      </c>
      <c r="AR544" s="769"/>
      <c r="AS544" s="769"/>
      <c r="AT544" s="769"/>
      <c r="BM544" s="335"/>
    </row>
    <row r="545" spans="1:65" ht="22.25" customHeight="1">
      <c r="A545" s="181">
        <f t="shared" si="184"/>
        <v>45292</v>
      </c>
      <c r="B545" s="484">
        <f>YEAR($A546)-1</f>
        <v>2023</v>
      </c>
      <c r="C545" s="489" t="s">
        <v>158</v>
      </c>
      <c r="D545" s="520" t="e">
        <f>D543+1</f>
        <v>#NUM!</v>
      </c>
      <c r="E545" s="194" t="e">
        <f>DATE(YEAR(E544),MONTH(E544),DAY(E544)+1)</f>
        <v>#NUM!</v>
      </c>
      <c r="F545" s="195" t="e">
        <f t="shared" si="192"/>
        <v>#NUM!</v>
      </c>
      <c r="G545" s="196" t="e">
        <f t="shared" si="193"/>
        <v>#NUM!</v>
      </c>
      <c r="H545" s="195" t="e">
        <f t="shared" si="194"/>
        <v>#NUM!</v>
      </c>
      <c r="I545" s="197">
        <f>IF(J547&lt;13,J547,"")</f>
        <v>9</v>
      </c>
      <c r="J545" s="224">
        <f>G540</f>
        <v>0</v>
      </c>
      <c r="K545" s="506" t="str">
        <f t="shared" si="188"/>
        <v/>
      </c>
      <c r="L545" s="471"/>
      <c r="M545" s="473" t="e">
        <f ca="1">SUM(J540-E546)&amp;" Tage"</f>
        <v>#NUM!</v>
      </c>
      <c r="N545" s="200"/>
      <c r="O545" s="201"/>
      <c r="P545" s="201"/>
      <c r="Q545" s="202"/>
      <c r="R545" s="189"/>
      <c r="S545" s="203"/>
      <c r="T545" s="203"/>
      <c r="U545" s="204"/>
      <c r="V545" s="192"/>
      <c r="W545" s="203"/>
      <c r="X545" s="203"/>
      <c r="Y545" s="204"/>
      <c r="Z545" s="192"/>
      <c r="AA545" s="203"/>
      <c r="AB545" s="203"/>
      <c r="AC545" s="204"/>
      <c r="AD545" s="192"/>
      <c r="AE545" s="203"/>
      <c r="AF545" s="203"/>
      <c r="AG545" s="204"/>
      <c r="AH545" s="193"/>
      <c r="AI545" s="203"/>
      <c r="AJ545" s="203"/>
      <c r="AK545" s="375"/>
      <c r="AL545" s="348"/>
      <c r="AM545" s="354"/>
      <c r="AN545" s="354"/>
      <c r="AO545" s="354"/>
      <c r="AP545" s="354"/>
      <c r="AQ545" s="350"/>
      <c r="AR545" s="769"/>
      <c r="AS545" s="769"/>
      <c r="AT545" s="769"/>
      <c r="BM545" s="335"/>
    </row>
    <row r="546" spans="1:65" ht="22.25" customHeight="1">
      <c r="A546" s="181">
        <f t="shared" si="184"/>
        <v>45292</v>
      </c>
      <c r="B546" s="485"/>
      <c r="C546" s="490"/>
      <c r="D546" s="521"/>
      <c r="E546" s="194" t="e">
        <f>DATE(YEAR(E545),MONTH(E545)+3,DAY(E545)-1)</f>
        <v>#NUM!</v>
      </c>
      <c r="F546" s="195" t="e">
        <f t="shared" si="192"/>
        <v>#NUM!</v>
      </c>
      <c r="G546" s="196" t="e">
        <f t="shared" si="193"/>
        <v>#NUM!</v>
      </c>
      <c r="H546" s="195" t="e">
        <f t="shared" si="194"/>
        <v>#NUM!</v>
      </c>
      <c r="I546" s="244">
        <f>IF(J548&lt;13,J548,"")</f>
        <v>6</v>
      </c>
      <c r="J546" s="224">
        <f>J545+3</f>
        <v>3</v>
      </c>
      <c r="K546" s="501" t="str">
        <f t="shared" si="188"/>
        <v>+Inflat.-P</v>
      </c>
      <c r="L546" s="511" t="e">
        <f>IF(M539="Stufe A",IF(AND(L540="Auswahl treffen",D545&gt;=0,D545&lt;=1000),J539,IF(AND(L540="Vermögend und ambulant",D545&gt;8,D545&lt;=1000),130,IF(AND(L540="Vermögend und ambulant",D545&gt;4,D545&lt;=8),158,IF(AND(L540="Vermögend und ambulant",D545&gt;2,D545&lt;=4),192,IF(AND(L540="Vermögend und ambulant",D545&gt;1,D545&lt;=2),208,IF(AND(L540="Vermögend und ambulant",D545&gt;0,D545&lt;=1),298,IF(AND(L540="Vermögend und stationär",D545&gt;8,D545&lt;=1000),78,IF(AND(L540="Vermögend und stationär",D545&gt;4,D545&lt;=8),91,IF(AND(L540="Vermögend und stationär",D545&gt;2,D545&lt;=4),140,IF(AND(L540="Vermögend und stationär",D545&gt;1,D545&lt;=2),158,IF(AND(L540="Vermögend und stationär",D545&gt;0,D545&lt;=1),200,IF(AND(L540="Mittellos und ambulant",D545&gt;8,D545&lt;=1000),105,IF(AND(L540="Mittellos und ambulant",D545&gt;4,D545&lt;=8),122,IF(AND(L540="Mittellos und ambulant",D545&gt;2,D545&lt;=4),151,IF(AND(L540="Mittellos und ambulant",D545&gt;1,D545&lt;=2),170,IF(AND(L540="Mittellos und ambulant",D545&gt;0,D545&lt;=1),208,IF(AND(L540="Mittellos und stationär",D545&gt;8,D545&lt;=1000),62,IF(AND(L540="Mittellos und stationär",D545&gt;4,D545&lt;=8),87,IF(AND(L540="Mittellos und stationär",D545&gt;2,D545&lt;=4),124,IF(AND(L540="Mittellos und stationär",D545&gt;1,D545&lt;=2),129,IF(AND(L540="Mittellos und stationär",D545&gt;0,D545&lt;=1),194,""))))))))))))))))))))),IF(M539="Stufe B",IF(AND(L540="Auswahl treffen",D545&gt;=0,D545&lt;=1000),J539,IF(AND(L540="Vermögend und ambulant",D545&gt;8,D545&lt;=1000),161,IF(AND(L540="Vermögend und ambulant",D545&gt;4,D545&lt;=8),196,IF(AND(L540="Vermögend und ambulant",D545&gt;2,D545&lt;=4),238,IF(AND(L540="Vermögend und ambulant",D545&gt;1,D545&lt;=2),258,IF(AND(L540="Vermögend und ambulant",D545&gt;0,D545&lt;=1),370,IF(AND(L540="Vermögend und stationär",D545&gt;8,D545&lt;=1000),96,IF(AND(L540="Vermögend und stationär",D545&gt;4,D545&lt;=8),113,IF(AND(L540="Vermögend und stationär",D545&gt;2,D545&lt;=4),174,IF(AND(L540="Vermögend und stationär",D545&gt;1,D545&lt;=2),196,IF(AND(L540="Vermögend und stationär",D545&gt;0,D545&lt;=1),249,IF(AND(L540="Mittellos und ambulant",D545&gt;8,D545&lt;=1000),130,IF(AND(L540="Mittellos und ambulant",D545&gt;4,D545&lt;=8),151,IF(AND(L540="Mittellos und ambulant",D545&gt;2,D545&lt;=4),188,IF(AND(L540="Mittellos und ambulant",D545&gt;1,D545&lt;=2),211,IF(AND(L540="Mittellos und ambulant",D545&gt;0,D545&lt;=1),258,IF(AND(L540="Mittellos und stationär",D545&gt;8,D545&lt;=1000),78,IF(AND(L540="Mittellos und stationär",D545&gt;4,D545&lt;=8),107,IF(AND(L540="Mittellos und stationär",D545&gt;2,D545&lt;=4),154,IF(AND(L540="Mittellos und stationär",D545&gt;1,D545&lt;=2),158,IF(AND(L540="Mittellos und stationär",D545&gt;0,D545&lt;=1),241,""))))))))))))))))))))),IF(M539="Stufe C",IF(AND(L540="Auswahl treffen",D545&gt;=0,D545&lt;=1000),J539,IF(AND(L540="Vermögend und ambulant",D545&gt;8,D545&lt;=1000),211,IF(AND(L540="Vermögend und ambulant",D545&gt;4,D545&lt;=8),257,IF(AND(L540="Vermögend und ambulant",D545&gt;2,D545&lt;=4),312,IF(AND(L540="Vermögend und ambulant",D545&gt;1,D545&lt;=2),339,IF(AND(L540="Vermögend und ambulant",D545&gt;0,D545&lt;=1),486,IF(AND(L540="Vermögend und stationär",D545&gt;8,D545&lt;=1000),127,IF(AND(L540="Vermögend und stationär",D545&gt;4,D545&lt;=8),149,IF(AND(L540="Vermögend und stationär",D545&gt;2,D545&lt;=4),229,IF(AND(L540="Vermögend und stationär",D545&gt;1,D545&lt;=2),257,IF(AND(L540="Vermögend und stationär",D545&gt;0,D545&lt;=1),327,IF(AND(L540="Mittellos und ambulant",D545&gt;8,D545&lt;=1000),171,IF(AND(L540="Mittellos und ambulant",D545&gt;4,D545&lt;=8),198,IF(AND(L540="Mittellos und ambulant",D545&gt;2,D545&lt;=4),246,IF(AND(L540="Mittellos und ambulant",D545&gt;1,D545&lt;=2),277,IF(AND(L540="Mittellos und ambulant",D545&gt;0,D545&lt;=1),339,IF(AND(L540="Mittellos und stationär",D545&gt;8,D545&lt;=1000),102,IF(AND(L540="Mittellos und stationär",D545&gt;4,D545&lt;=8),141,IF(AND(L540="Mittellos und stationär",D545&gt;2,D545&lt;=4),202,IF(AND(L540="Mittellos und stationär",D545&gt;1,D545&lt;=2),208,IF(AND(L540="Mittellos und stationär",D545&gt;0,D545&lt;=1),317,""))))))))))))))))))))),"")))*3+(J539*90)</f>
        <v>#NUM!</v>
      </c>
      <c r="M546" s="507" t="str">
        <f>CONCATENATE(K546, K545)</f>
        <v>+Inflat.-P</v>
      </c>
      <c r="N546" s="206"/>
      <c r="O546" s="207"/>
      <c r="P546" s="206" t="s">
        <v>118</v>
      </c>
      <c r="Q546" s="226"/>
      <c r="R546" s="189"/>
      <c r="S546" s="203"/>
      <c r="T546" s="203"/>
      <c r="U546" s="204"/>
      <c r="V546" s="192"/>
      <c r="W546" s="203"/>
      <c r="X546" s="203"/>
      <c r="Y546" s="204"/>
      <c r="Z546" s="192"/>
      <c r="AA546" s="209" t="s">
        <v>118</v>
      </c>
      <c r="AB546" s="209" t="s">
        <v>117</v>
      </c>
      <c r="AC546" s="204" t="s">
        <v>26</v>
      </c>
      <c r="AD546" s="192"/>
      <c r="AE546" s="203"/>
      <c r="AF546" s="203"/>
      <c r="AG546" s="204"/>
      <c r="AH546" s="193"/>
      <c r="AI546" s="203"/>
      <c r="AJ546" s="203"/>
      <c r="AK546" s="375"/>
      <c r="AL546" s="348" t="s">
        <v>150</v>
      </c>
      <c r="AM546" s="354"/>
      <c r="AN546" s="354"/>
      <c r="AO546" s="354">
        <f>IF(SUM(P540:P548)=SUM(AA540:AA548), 0, SUM(P540:P548)-SUM(AA540:AA548))</f>
        <v>0</v>
      </c>
      <c r="AP546" s="354"/>
      <c r="AQ546" s="350">
        <f>AM546+AN546+AO546+AP546</f>
        <v>0</v>
      </c>
      <c r="AR546" s="769"/>
      <c r="AS546" s="769"/>
      <c r="AT546" s="769"/>
      <c r="BM546" s="335"/>
    </row>
    <row r="547" spans="1:65" ht="22.25" customHeight="1">
      <c r="A547" s="181">
        <f t="shared" si="184"/>
        <v>45292</v>
      </c>
      <c r="B547" s="486"/>
      <c r="C547" s="489" t="s">
        <v>158</v>
      </c>
      <c r="D547" s="522" t="e">
        <f>D545+1</f>
        <v>#NUM!</v>
      </c>
      <c r="E547" s="211" t="e">
        <f>DATE(YEAR(E546),MONTH(E546),DAY(E546)+1)</f>
        <v>#NUM!</v>
      </c>
      <c r="F547" s="227" t="e">
        <f t="shared" si="192"/>
        <v>#NUM!</v>
      </c>
      <c r="G547" s="228" t="e">
        <f t="shared" si="193"/>
        <v>#NUM!</v>
      </c>
      <c r="H547" s="227" t="e">
        <f t="shared" si="194"/>
        <v>#NUM!</v>
      </c>
      <c r="I547" s="231">
        <f>IF(J546&lt;13,J546,"")</f>
        <v>3</v>
      </c>
      <c r="J547" s="230">
        <f>J548+3</f>
        <v>9</v>
      </c>
      <c r="K547" s="506" t="str">
        <f t="shared" si="188"/>
        <v/>
      </c>
      <c r="L547" s="471"/>
      <c r="M547" s="473" t="e">
        <f ca="1">SUM(J540-E548)&amp;" Tage"</f>
        <v>#NUM!</v>
      </c>
      <c r="N547" s="216"/>
      <c r="O547" s="188"/>
      <c r="P547" s="188"/>
      <c r="Q547" s="217"/>
      <c r="R547" s="189"/>
      <c r="S547" s="190"/>
      <c r="T547" s="190"/>
      <c r="U547" s="191"/>
      <c r="V547" s="192"/>
      <c r="W547" s="190"/>
      <c r="X547" s="190"/>
      <c r="Y547" s="191"/>
      <c r="Z547" s="192"/>
      <c r="AA547" s="190"/>
      <c r="AB547" s="190"/>
      <c r="AC547" s="191"/>
      <c r="AD547" s="192"/>
      <c r="AE547" s="190"/>
      <c r="AF547" s="190"/>
      <c r="AG547" s="191"/>
      <c r="AH547" s="193"/>
      <c r="AI547" s="190"/>
      <c r="AJ547" s="190"/>
      <c r="AK547" s="374"/>
      <c r="AL547" s="348"/>
      <c r="AM547" s="354"/>
      <c r="AN547" s="354"/>
      <c r="AO547" s="354"/>
      <c r="AP547" s="354"/>
      <c r="AQ547" s="350"/>
      <c r="AR547" s="769"/>
      <c r="AS547" s="769"/>
      <c r="AT547" s="769"/>
      <c r="BM547" s="335"/>
    </row>
    <row r="548" spans="1:65" ht="22.25" customHeight="1">
      <c r="A548" s="181">
        <f t="shared" si="184"/>
        <v>45292</v>
      </c>
      <c r="B548" s="485"/>
      <c r="C548" s="490"/>
      <c r="D548" s="521"/>
      <c r="E548" s="218" t="e">
        <f>DATE(YEAR(E547),MONTH(E547)+3,DAY(E547)-1)</f>
        <v>#NUM!</v>
      </c>
      <c r="F548" s="227" t="e">
        <f t="shared" si="192"/>
        <v>#NUM!</v>
      </c>
      <c r="G548" s="228" t="e">
        <f t="shared" si="193"/>
        <v>#NUM!</v>
      </c>
      <c r="H548" s="227" t="e">
        <f t="shared" si="194"/>
        <v>#NUM!</v>
      </c>
      <c r="I548" s="231">
        <f>IF(J545&lt;13,J545,"")</f>
        <v>0</v>
      </c>
      <c r="J548" s="230">
        <f>J546+3</f>
        <v>6</v>
      </c>
      <c r="K548" s="501" t="str">
        <f t="shared" si="188"/>
        <v>+Inflat.-P</v>
      </c>
      <c r="L548" s="508" t="e">
        <f>IF(M539="Stufe A",IF(AND(L540="Auswahl treffen",D547&gt;=0,D547&lt;=1000),J539,IF(AND(L540="Vermögend und ambulant",D547&gt;8,D547&lt;=1000),130,IF(AND(L540="Vermögend und ambulant",D547&gt;4,D547&lt;=8),158,IF(AND(L540="Vermögend und ambulant",D547&gt;2,D547&lt;=4),192,IF(AND(L540="Vermögend und ambulant",D547&gt;1,D547&lt;=2),208,IF(AND(L540="Vermögend und ambulant",D547&gt;0,D547&lt;=1),298,IF(AND(L540="Vermögend und stationär",D547&gt;8,D547&lt;=1000),78,IF(AND(L540="Vermögend und stationär",D547&gt;4,D547&lt;=8),91,IF(AND(L540="Vermögend und stationär",D547&gt;2,D547&lt;=4),140,IF(AND(L540="Vermögend und stationär",D547&gt;1,D547&lt;=2),158,IF(AND(L540="Vermögend und stationär",D547&gt;0,D547&lt;=1),200,IF(AND(L540="Mittellos und ambulant",D547&gt;8,D547&lt;=1000),105,IF(AND(L540="Mittellos und ambulant",D547&gt;4,D547&lt;=8),122,IF(AND(L540="Mittellos und ambulant",D547&gt;2,D547&lt;=4),151,IF(AND(L540="Mittellos und ambulant",D547&gt;1,D547&lt;=2),170,IF(AND(L540="Mittellos und ambulant",D547&gt;0,D547&lt;=1),208,IF(AND(L540="Mittellos und stationär",D547&gt;8,D547&lt;=1000),62,IF(AND(L540="Mittellos und stationär",D547&gt;4,D547&lt;=8),87,IF(AND(L540="Mittellos und stationär",D547&gt;2,D547&lt;=4),124,IF(AND(L540="Mittellos und stationär",D547&gt;1,D547&lt;=2),129,IF(AND(L540="Mittellos und stationär",D547&gt;0,D547&lt;=1),194,""))))))))))))))))))))),IF(M539="Stufe B",IF(AND(L540="Auswahl treffen",D547&gt;=0,D547&lt;=1000),J539,IF(AND(L540="Vermögend und ambulant",D547&gt;8,D547&lt;=1000),161,IF(AND(L540="Vermögend und ambulant",D547&gt;4,D547&lt;=8),196,IF(AND(L540="Vermögend und ambulant",D547&gt;2,D547&lt;=4),238,IF(AND(L540="Vermögend und ambulant",D547&gt;1,D547&lt;=2),258,IF(AND(L540="Vermögend und ambulant",D547&gt;0,D547&lt;=1),370,IF(AND(L540="Vermögend und stationär",D547&gt;8,D547&lt;=1000),96,IF(AND(L540="Vermögend und stationär",D547&gt;4,D547&lt;=8),113,IF(AND(L540="Vermögend und stationär",D547&gt;2,D547&lt;=4),174,IF(AND(L540="Vermögend und stationär",D547&gt;1,D547&lt;=2),196,IF(AND(L540="Vermögend und stationär",D547&gt;0,D547&lt;=1),249,IF(AND(L540="Mittellos und ambulant",D547&gt;8,D547&lt;=1000),130,IF(AND(L540="Mittellos und ambulant",D547&gt;4,D547&lt;=8),151,IF(AND(L540="Mittellos und ambulant",D547&gt;2,D547&lt;=4),188,IF(AND(L540="Mittellos und ambulant",D547&gt;1,D547&lt;=2),211,IF(AND(L540="Mittellos und ambulant",D547&gt;0,D547&lt;=1),258,IF(AND(L540="Mittellos und stationär",D547&gt;8,D547&lt;=1000),78,IF(AND(L540="Mittellos und stationär",D547&gt;4,D547&lt;=8),107,IF(AND(L540="Mittellos und stationär",D547&gt;2,D547&lt;=4),154,IF(AND(L540="Mittellos und stationär",D547&gt;1,D547&lt;=2),158,IF(AND(L540="Mittellos und stationär",D547&gt;0,D547&lt;=1),241,""))))))))))))))))))))),IF(M539="Stufe C",IF(AND(L540="Auswahl treffen",D547&gt;=0,D547&lt;=1000),J539,IF(AND(L540="Vermögend und ambulant",D547&gt;8,D547&lt;=1000),211,IF(AND(L540="Vermögend und ambulant",D547&gt;4,D547&lt;=8),257,IF(AND(L540="Vermögend und ambulant",D547&gt;2,D547&lt;=4),312,IF(AND(L540="Vermögend und ambulant",D547&gt;1,D547&lt;=2),339,IF(AND(L540="Vermögend und ambulant",D547&gt;0,D547&lt;=1),486,IF(AND(L540="Vermögend und stationär",D547&gt;8,D547&lt;=1000),127,IF(AND(L540="Vermögend und stationär",D547&gt;4,D547&lt;=8),149,IF(AND(L540="Vermögend und stationär",D547&gt;2,D547&lt;=4),229,IF(AND(L540="Vermögend und stationär",D547&gt;1,D547&lt;=2),257,IF(AND(L540="Vermögend und stationär",D547&gt;0,D547&lt;=1),327,IF(AND(L540="Mittellos und ambulant",D547&gt;8,D547&lt;=1000),171,IF(AND(L540="Mittellos und ambulant",D547&gt;4,D547&lt;=8),198,IF(AND(L540="Mittellos und ambulant",D547&gt;2,D547&lt;=4),246,IF(AND(L540="Mittellos und ambulant",D547&gt;1,D547&lt;=2),277,IF(AND(L540="Mittellos und ambulant",D547&gt;0,D547&lt;=1),339,IF(AND(L540="Mittellos und stationär",D547&gt;8,D547&lt;=1000),102,IF(AND(L540="Mittellos und stationär",D547&gt;4,D547&lt;=8),141,IF(AND(L540="Mittellos und stationär",D547&gt;2,D547&lt;=4),202,IF(AND(L540="Mittellos und stationär",D547&gt;1,D547&lt;=2),208,IF(AND(L540="Mittellos und stationär",D547&gt;0,D547&lt;=1),317,""))))))))))))))))))))),"")))*3+(J539*90)</f>
        <v>#NUM!</v>
      </c>
      <c r="M548" s="507" t="str">
        <f>CONCATENATE(K548, K547)</f>
        <v>+Inflat.-P</v>
      </c>
      <c r="N548" s="216"/>
      <c r="O548" s="188"/>
      <c r="P548" s="188"/>
      <c r="Q548" s="217" t="s">
        <v>118</v>
      </c>
      <c r="R548" s="189"/>
      <c r="S548" s="190"/>
      <c r="T548" s="190"/>
      <c r="U548" s="191"/>
      <c r="V548" s="192"/>
      <c r="W548" s="190"/>
      <c r="X548" s="190"/>
      <c r="Y548" s="191"/>
      <c r="Z548" s="192"/>
      <c r="AA548" s="190"/>
      <c r="AB548" s="190"/>
      <c r="AC548" s="191"/>
      <c r="AD548" s="192"/>
      <c r="AE548" s="190" t="s">
        <v>118</v>
      </c>
      <c r="AF548" s="190" t="s">
        <v>117</v>
      </c>
      <c r="AG548" s="191" t="s">
        <v>26</v>
      </c>
      <c r="AH548" s="193"/>
      <c r="AI548" s="190" t="s">
        <v>118</v>
      </c>
      <c r="AJ548" s="190" t="s">
        <v>117</v>
      </c>
      <c r="AK548" s="374" t="s">
        <v>26</v>
      </c>
      <c r="AL548" s="348" t="s">
        <v>151</v>
      </c>
      <c r="AM548" s="354"/>
      <c r="AN548" s="354"/>
      <c r="AO548" s="354"/>
      <c r="AP548" s="354">
        <f>IF(SUM(Q540:Q548)=SUM(AE540:AE548,AI540:AI548), 0, SUM(Q540:Q548)-SUM(AE540:AE548,AI540:AI548))</f>
        <v>0</v>
      </c>
      <c r="AQ548" s="350">
        <f>AM548+AN548+AO548+AP548</f>
        <v>0</v>
      </c>
      <c r="AR548" s="769"/>
      <c r="AS548" s="769"/>
      <c r="AT548" s="769"/>
      <c r="BM548" s="335"/>
    </row>
    <row r="549" spans="1:65" ht="22" customHeight="1">
      <c r="A549" s="181">
        <f t="shared" si="184"/>
        <v>45292</v>
      </c>
      <c r="B549" s="232" t="s">
        <v>74</v>
      </c>
      <c r="C549" s="233" t="s">
        <v>75</v>
      </c>
      <c r="D549" s="234" t="s">
        <v>76</v>
      </c>
      <c r="E549" s="235" t="s">
        <v>11</v>
      </c>
      <c r="F549" s="235" t="s">
        <v>4</v>
      </c>
      <c r="G549" s="235" t="s">
        <v>5</v>
      </c>
      <c r="H549" s="235" t="s">
        <v>6</v>
      </c>
      <c r="I549" s="236" t="s">
        <v>77</v>
      </c>
      <c r="J549" s="479"/>
      <c r="K549" s="506" t="str">
        <f t="shared" si="188"/>
        <v/>
      </c>
      <c r="L549" s="479" t="str">
        <f>IFERROR(VLOOKUP(B550,'Aktuelle Einnahmen'!A2:J104,10,0),"")</f>
        <v/>
      </c>
      <c r="M549" s="512" t="str">
        <f>M539</f>
        <v>Stufe C</v>
      </c>
      <c r="N549" s="237"/>
      <c r="O549" s="238"/>
      <c r="P549" s="238"/>
      <c r="Q549" s="239"/>
      <c r="R549" s="240"/>
      <c r="S549" s="241"/>
      <c r="T549" s="241"/>
      <c r="U549" s="242"/>
      <c r="V549" s="243"/>
      <c r="W549" s="241"/>
      <c r="X549" s="241"/>
      <c r="Y549" s="242"/>
      <c r="Z549" s="243"/>
      <c r="AA549" s="241"/>
      <c r="AB549" s="241"/>
      <c r="AC549" s="242"/>
      <c r="AD549" s="243"/>
      <c r="AE549" s="241"/>
      <c r="AF549" s="241"/>
      <c r="AG549" s="242"/>
      <c r="AH549" s="240"/>
      <c r="AI549" s="241"/>
      <c r="AJ549" s="241"/>
      <c r="AK549" s="377"/>
      <c r="AL549" s="347"/>
      <c r="AM549" s="353"/>
      <c r="AN549" s="353"/>
      <c r="AO549" s="353"/>
      <c r="AP549" s="353"/>
      <c r="AQ549" s="349"/>
      <c r="AR549" s="768"/>
      <c r="AS549" s="768"/>
      <c r="AT549" s="768"/>
      <c r="BM549" s="335"/>
    </row>
    <row r="550" spans="1:65" ht="23" customHeight="1">
      <c r="A550" s="181">
        <f t="shared" si="184"/>
        <v>45292</v>
      </c>
      <c r="B550" s="182">
        <v>55</v>
      </c>
      <c r="C550" s="245">
        <f>IFERROR(VLOOKUP($B550,'Aktuelle Einnahmen'!A2:G104,3,0),"")</f>
        <v>0</v>
      </c>
      <c r="D550" s="246">
        <f>IFERROR(VLOOKUP($B550,'Aktuelle Einnahmen'!A2:G104,2,0),"")</f>
        <v>0</v>
      </c>
      <c r="E550" s="247">
        <f>IFERROR(VLOOKUP($B550,'Aktuelle Einnahmen'!A2:G104,4,0),"")</f>
        <v>0</v>
      </c>
      <c r="F550" s="94">
        <f>IFERROR(VLOOKUP($B550,'Aktuelle Einnahmen'!A2:G104,5,0),"")</f>
        <v>0</v>
      </c>
      <c r="G550" s="94">
        <f>IFERROR(VLOOKUP($B550,'Aktuelle Einnahmen'!A2:G104,6,0),"")</f>
        <v>0</v>
      </c>
      <c r="H550" s="94">
        <f>IFERROR(VLOOKUP($B550,'Aktuelle Einnahmen'!A2:G104,7,0),"")</f>
        <v>0</v>
      </c>
      <c r="I550" s="186" t="e">
        <f>DATE(H550,G550,F550)</f>
        <v>#NUM!</v>
      </c>
      <c r="J550" s="472">
        <f ca="1">J540</f>
        <v>45475</v>
      </c>
      <c r="K550" s="501" t="str">
        <f t="shared" si="188"/>
        <v>+Inflat.-P</v>
      </c>
      <c r="L550" s="1262" t="str">
        <f>IFERROR(VLOOKUP(B550,'Aktuelle Einnahmen'!A22:I124,9,0),"")</f>
        <v>Auswahl treffen</v>
      </c>
      <c r="M550" s="1263"/>
      <c r="N550" s="261"/>
      <c r="O550" s="261"/>
      <c r="P550" s="261"/>
      <c r="Q550" s="261"/>
      <c r="R550" s="189"/>
      <c r="S550" s="190"/>
      <c r="T550" s="190"/>
      <c r="U550" s="191"/>
      <c r="V550" s="192"/>
      <c r="W550" s="190"/>
      <c r="X550" s="190"/>
      <c r="Y550" s="191"/>
      <c r="Z550" s="192"/>
      <c r="AA550" s="190"/>
      <c r="AB550" s="190"/>
      <c r="AC550" s="191"/>
      <c r="AD550" s="192"/>
      <c r="AE550" s="190"/>
      <c r="AF550" s="190"/>
      <c r="AG550" s="191"/>
      <c r="AH550" s="193"/>
      <c r="AI550" s="190"/>
      <c r="AJ550" s="190"/>
      <c r="AK550" s="374"/>
      <c r="AL550" s="348"/>
      <c r="AM550" s="354"/>
      <c r="AN550" s="354"/>
      <c r="AO550" s="354"/>
      <c r="AP550" s="354"/>
      <c r="AQ550" s="350"/>
      <c r="AR550" s="769"/>
      <c r="AS550" s="769"/>
      <c r="AT550" s="769"/>
      <c r="BM550" s="335"/>
    </row>
    <row r="551" spans="1:65" ht="22.25" customHeight="1">
      <c r="A551" s="181">
        <f t="shared" si="184"/>
        <v>45292</v>
      </c>
      <c r="B551" s="484" t="e">
        <f>DAY(I550)</f>
        <v>#NUM!</v>
      </c>
      <c r="C551" s="489" t="s">
        <v>158</v>
      </c>
      <c r="D551" s="520" t="e">
        <f>(I551*4)+J551/3+1</f>
        <v>#NUM!</v>
      </c>
      <c r="E551" s="194" t="e">
        <f>J553+1</f>
        <v>#NUM!</v>
      </c>
      <c r="F551" s="195" t="e">
        <f t="shared" ref="F551:F558" si="195">DAY(E551)</f>
        <v>#NUM!</v>
      </c>
      <c r="G551" s="196" t="e">
        <f t="shared" ref="G551:G558" si="196">MONTH(E551)</f>
        <v>#NUM!</v>
      </c>
      <c r="H551" s="195" t="e">
        <f t="shared" ref="H551:H558" si="197">YEAR(E551)</f>
        <v>#NUM!</v>
      </c>
      <c r="I551" s="197" t="e">
        <f>H551-(H550+2000)</f>
        <v>#NUM!</v>
      </c>
      <c r="J551" s="198" t="e">
        <f>G551-G550</f>
        <v>#NUM!</v>
      </c>
      <c r="K551" s="506" t="str">
        <f>L549</f>
        <v/>
      </c>
      <c r="L551" s="469"/>
      <c r="M551" s="473" t="e">
        <f ca="1">SUM(J550-E552)&amp;" Tage"</f>
        <v>#NUM!</v>
      </c>
      <c r="N551" s="206"/>
      <c r="O551" s="201"/>
      <c r="P551" s="201"/>
      <c r="Q551" s="202"/>
      <c r="R551" s="189"/>
      <c r="S551" s="203"/>
      <c r="T551" s="203"/>
      <c r="U551" s="204"/>
      <c r="V551" s="192"/>
      <c r="W551" s="203"/>
      <c r="X551" s="203"/>
      <c r="Y551" s="204"/>
      <c r="Z551" s="192"/>
      <c r="AA551" s="203"/>
      <c r="AB551" s="203"/>
      <c r="AC551" s="204"/>
      <c r="AD551" s="192"/>
      <c r="AE551" s="203"/>
      <c r="AF551" s="203"/>
      <c r="AG551" s="204"/>
      <c r="AH551" s="193"/>
      <c r="AI551" s="203"/>
      <c r="AJ551" s="203"/>
      <c r="AK551" s="375"/>
      <c r="AL551" s="348"/>
      <c r="AM551" s="354"/>
      <c r="AN551" s="354"/>
      <c r="AO551" s="354"/>
      <c r="AP551" s="354"/>
      <c r="AQ551" s="350"/>
      <c r="AR551" s="769"/>
      <c r="AS551" s="769"/>
      <c r="AT551" s="769"/>
      <c r="BM551" s="335"/>
    </row>
    <row r="552" spans="1:65" ht="22.25" customHeight="1">
      <c r="A552" s="181">
        <f t="shared" si="184"/>
        <v>45292</v>
      </c>
      <c r="B552" s="485"/>
      <c r="C552" s="490"/>
      <c r="D552" s="521"/>
      <c r="E552" s="194" t="e">
        <f>DATE(YEAR(E551),MONTH(E551)+3,DAY(E551)-1)</f>
        <v>#NUM!</v>
      </c>
      <c r="F552" s="195" t="e">
        <f t="shared" si="195"/>
        <v>#NUM!</v>
      </c>
      <c r="G552" s="196" t="e">
        <f t="shared" si="196"/>
        <v>#NUM!</v>
      </c>
      <c r="H552" s="195" t="e">
        <f t="shared" si="197"/>
        <v>#NUM!</v>
      </c>
      <c r="I552" s="244">
        <v>-1</v>
      </c>
      <c r="J552" s="198" t="e">
        <f>F551-F550</f>
        <v>#NUM!</v>
      </c>
      <c r="K552" s="506" t="str">
        <f t="shared" si="188"/>
        <v>+Inflat.-P</v>
      </c>
      <c r="L552" s="511" t="e">
        <f>IF(M549="Stufe A",IF(AND(L550="Auswahl treffen",D551&gt;=0,D551&lt;=1000),J549,IF(AND(L550="Vermögend und ambulant",D551&gt;8,D551&lt;=1000),130,IF(AND(L550="Vermögend und ambulant",D551&gt;4,D551&lt;=8),158,IF(AND(L550="Vermögend und ambulant",D551&gt;2,D551&lt;=4),192,IF(AND(L550="Vermögend und ambulant",D551&gt;1,D551&lt;=2),208,IF(AND(L550="Vermögend und ambulant",D551&gt;0,D551&lt;=1),298,IF(AND(L550="Vermögend und stationär",D551&gt;8,D551&lt;=1000),78,IF(AND(L550="Vermögend und stationär",D551&gt;4,D551&lt;=8),91,IF(AND(L550="Vermögend und stationär",D551&gt;2,D551&lt;=4),140,IF(AND(L550="Vermögend und stationär",D551&gt;1,D551&lt;=2),158,IF(AND(L550="Vermögend und stationär",D551&gt;0,D551&lt;=1),200,IF(AND(L550="Mittellos und ambulant",D551&gt;8,D551&lt;=1000),105,IF(AND(L550="Mittellos und ambulant",D551&gt;4,D551&lt;=8),122,IF(AND(L550="Mittellos und ambulant",D551&gt;2,D551&lt;=4),151,IF(AND(L550="Mittellos und ambulant",D551&gt;1,D551&lt;=2),170,IF(AND(L550="Mittellos und ambulant",D551&gt;0,D551&lt;=1),208,IF(AND(L550="Mittellos und stationär",D551&gt;8,D551&lt;=1000),62,IF(AND(L550="Mittellos und stationär",D551&gt;4,D551&lt;=8),87,IF(AND(L550="Mittellos und stationär",D551&gt;2,D551&lt;=4),124,IF(AND(L550="Mittellos und stationär",D551&gt;1,D551&lt;=2),129,IF(AND(L550="Mittellos und stationär",D551&gt;0,D551&lt;=1),194,""))))))))))))))))))))),IF(M549="Stufe B",IF(AND(L550="Auswahl treffen",D551&gt;=0,D551&lt;=1000),J549,IF(AND(L550="Vermögend und ambulant",D551&gt;8,D551&lt;=1000),161,IF(AND(L550="Vermögend und ambulant",D551&gt;4,D551&lt;=8),196,IF(AND(L550="Vermögend und ambulant",D551&gt;2,D551&lt;=4),238,IF(AND(L550="Vermögend und ambulant",D551&gt;1,D551&lt;=2),258,IF(AND(L550="Vermögend und ambulant",D551&gt;0,D551&lt;=1),370,IF(AND(L550="Vermögend und stationär",D551&gt;8,D551&lt;=1000),96,IF(AND(L550="Vermögend und stationär",D551&gt;4,D551&lt;=8),113,IF(AND(L550="Vermögend und stationär",D551&gt;2,D551&lt;=4),174,IF(AND(L550="Vermögend und stationär",D551&gt;1,D551&lt;=2),196,IF(AND(L550="Vermögend und stationär",D551&gt;0,D551&lt;=1),249,IF(AND(L550="Mittellos und ambulant",D551&gt;8,D551&lt;=1000),130,IF(AND(L550="Mittellos und ambulant",D551&gt;4,D551&lt;=8),151,IF(AND(L550="Mittellos und ambulant",D551&gt;2,D551&lt;=4),188,IF(AND(L550="Mittellos und ambulant",D551&gt;1,D551&lt;=2),211,IF(AND(L550="Mittellos und ambulant",D551&gt;0,D551&lt;=1),258,IF(AND(L550="Mittellos und stationär",D551&gt;8,D551&lt;=1000),78,IF(AND(L550="Mittellos und stationär",D551&gt;4,D551&lt;=8),107,IF(AND(L550="Mittellos und stationär",D551&gt;2,D551&lt;=4),154,IF(AND(L550="Mittellos und stationär",D551&gt;1,D551&lt;=2),158,IF(AND(L550="Mittellos und stationär",D551&gt;0,D551&lt;=1),241,""))))))))))))))))))))),IF(M549="Stufe C",IF(AND(L550="Auswahl treffen",D551&gt;=0,D551&lt;=1000),J549,IF(AND(L550="Vermögend und ambulant",D551&gt;8,D551&lt;=1000),211,IF(AND(L550="Vermögend und ambulant",D551&gt;4,D551&lt;=8),257,IF(AND(L550="Vermögend und ambulant",D551&gt;2,D551&lt;=4),312,IF(AND(L550="Vermögend und ambulant",D551&gt;1,D551&lt;=2),339,IF(AND(L550="Vermögend und ambulant",D551&gt;0,D551&lt;=1),486,IF(AND(L550="Vermögend und stationär",D551&gt;8,D551&lt;=1000),127,IF(AND(L550="Vermögend und stationär",D551&gt;4,D551&lt;=8),149,IF(AND(L550="Vermögend und stationär",D551&gt;2,D551&lt;=4),229,IF(AND(L550="Vermögend und stationär",D551&gt;1,D551&lt;=2),257,IF(AND(L550="Vermögend und stationär",D551&gt;0,D551&lt;=1),327,IF(AND(L550="Mittellos und ambulant",D551&gt;8,D551&lt;=1000),171,IF(AND(L550="Mittellos und ambulant",D551&gt;4,D551&lt;=8),198,IF(AND(L550="Mittellos und ambulant",D551&gt;2,D551&lt;=4),246,IF(AND(L550="Mittellos und ambulant",D551&gt;1,D551&lt;=2),277,IF(AND(L550="Mittellos und ambulant",D551&gt;0,D551&lt;=1),339,IF(AND(L550="Mittellos und stationär",D551&gt;8,D551&lt;=1000),102,IF(AND(L550="Mittellos und stationär",D551&gt;4,D551&lt;=8),141,IF(AND(L550="Mittellos und stationär",D551&gt;2,D551&lt;=4),202,IF(AND(L550="Mittellos und stationär",D551&gt;1,D551&lt;=2),208,IF(AND(L550="Mittellos und stationär",D551&gt;0,D551&lt;=1),317,""))))))))))))))))))))),"")))*3+(J549*90)</f>
        <v>#NUM!</v>
      </c>
      <c r="M552" s="507" t="str">
        <f>CONCATENATE(K552, K551)</f>
        <v>+Inflat.-P</v>
      </c>
      <c r="N552" s="206" t="s">
        <v>118</v>
      </c>
      <c r="O552" s="207"/>
      <c r="P552" s="207"/>
      <c r="Q552" s="208"/>
      <c r="R552" s="187"/>
      <c r="S552" s="209" t="s">
        <v>118</v>
      </c>
      <c r="T552" s="201" t="s">
        <v>117</v>
      </c>
      <c r="U552" s="210" t="s">
        <v>26</v>
      </c>
      <c r="V552" s="192"/>
      <c r="W552" s="203"/>
      <c r="X552" s="203"/>
      <c r="Y552" s="210"/>
      <c r="Z552" s="192"/>
      <c r="AA552" s="203"/>
      <c r="AB552" s="203"/>
      <c r="AC552" s="210"/>
      <c r="AD552" s="192"/>
      <c r="AE552" s="203"/>
      <c r="AF552" s="203"/>
      <c r="AG552" s="210"/>
      <c r="AH552" s="193"/>
      <c r="AI552" s="203"/>
      <c r="AJ552" s="203"/>
      <c r="AK552" s="376"/>
      <c r="AL552" s="348" t="s">
        <v>148</v>
      </c>
      <c r="AM552" s="354">
        <f>IF(SUM(N550:N558)=SUM(S550:S558), 0, SUM(N550:N558)-SUM(S550:S558))</f>
        <v>0</v>
      </c>
      <c r="AN552" s="354"/>
      <c r="AO552" s="354"/>
      <c r="AP552" s="354"/>
      <c r="AQ552" s="350">
        <f>AM552+AN552+AO552+AP552</f>
        <v>0</v>
      </c>
      <c r="AR552" s="769"/>
      <c r="AS552" s="769"/>
      <c r="AT552" s="769"/>
      <c r="BM552" s="335"/>
    </row>
    <row r="553" spans="1:65" ht="22.25" customHeight="1">
      <c r="A553" s="181">
        <f t="shared" si="184"/>
        <v>45292</v>
      </c>
      <c r="B553" s="484" t="e">
        <f>MONTH(I550)</f>
        <v>#NUM!</v>
      </c>
      <c r="C553" s="489" t="s">
        <v>158</v>
      </c>
      <c r="D553" s="522" t="e">
        <f>D551+1</f>
        <v>#NUM!</v>
      </c>
      <c r="E553" s="211" t="e">
        <f>DATE(YEAR(E552),MONTH(E552),DAY(E552)+1)</f>
        <v>#NUM!</v>
      </c>
      <c r="F553" s="212" t="e">
        <f t="shared" si="195"/>
        <v>#NUM!</v>
      </c>
      <c r="G553" s="213" t="e">
        <f t="shared" si="196"/>
        <v>#NUM!</v>
      </c>
      <c r="H553" s="212" t="e">
        <f t="shared" si="197"/>
        <v>#NUM!</v>
      </c>
      <c r="I553" s="214" t="str">
        <f>IF(D550&lt;&gt;0,"-1T","")</f>
        <v/>
      </c>
      <c r="J553" s="215" t="e">
        <f>DATE($B555,I554,$B551)</f>
        <v>#NUM!</v>
      </c>
      <c r="K553" s="501" t="str">
        <f t="shared" si="188"/>
        <v/>
      </c>
      <c r="L553" s="470"/>
      <c r="M553" s="473" t="e">
        <f ca="1">SUM(J550-E554)&amp;" Tage"</f>
        <v>#NUM!</v>
      </c>
      <c r="N553" s="216"/>
      <c r="O553" s="217"/>
      <c r="P553" s="188"/>
      <c r="Q553" s="217"/>
      <c r="R553" s="189"/>
      <c r="S553" s="190"/>
      <c r="T553" s="190"/>
      <c r="U553" s="191"/>
      <c r="V553" s="192"/>
      <c r="W553" s="190"/>
      <c r="X553" s="190"/>
      <c r="Y553" s="191"/>
      <c r="Z553" s="192"/>
      <c r="AA553" s="190"/>
      <c r="AB553" s="190"/>
      <c r="AC553" s="191"/>
      <c r="AD553" s="192"/>
      <c r="AE553" s="190"/>
      <c r="AF553" s="190"/>
      <c r="AG553" s="191"/>
      <c r="AH553" s="193"/>
      <c r="AI553" s="190"/>
      <c r="AJ553" s="190"/>
      <c r="AK553" s="374"/>
      <c r="AL553" s="348"/>
      <c r="AM553" s="354"/>
      <c r="AN553" s="354"/>
      <c r="AO553" s="354"/>
      <c r="AP553" s="354"/>
      <c r="AQ553" s="350"/>
      <c r="AR553" s="769"/>
      <c r="AS553" s="769"/>
      <c r="AT553" s="769"/>
      <c r="BM553" s="335"/>
    </row>
    <row r="554" spans="1:65" ht="22.25" customHeight="1">
      <c r="A554" s="181">
        <f t="shared" si="184"/>
        <v>45292</v>
      </c>
      <c r="B554" s="485"/>
      <c r="C554" s="490"/>
      <c r="D554" s="521"/>
      <c r="E554" s="218" t="e">
        <f>DATE(YEAR(E553),MONTH(E553)+3,DAY(E553)-1)</f>
        <v>#NUM!</v>
      </c>
      <c r="F554" s="212" t="e">
        <f t="shared" si="195"/>
        <v>#NUM!</v>
      </c>
      <c r="G554" s="213" t="e">
        <f t="shared" si="196"/>
        <v>#NUM!</v>
      </c>
      <c r="H554" s="212" t="e">
        <f t="shared" si="197"/>
        <v>#NUM!</v>
      </c>
      <c r="I554" s="219">
        <f>MAX(I555:I558)</f>
        <v>9</v>
      </c>
      <c r="J554" s="220" t="e">
        <f>DATE(YEAR(J553)+1,MONTH(J553),DAY(J553))</f>
        <v>#NUM!</v>
      </c>
      <c r="K554" s="506" t="str">
        <f t="shared" si="188"/>
        <v>+Inflat.-P</v>
      </c>
      <c r="L554" s="508" t="e">
        <f>IF(M549="Stufe A",IF(AND(L550="Auswahl treffen",D553&gt;=0,D553&lt;=1000),J549,IF(AND(L550="Vermögend und ambulant",D553&gt;8,D553&lt;=1000),130,IF(AND(L550="Vermögend und ambulant",D553&gt;4,D553&lt;=8),158,IF(AND(L550="Vermögend und ambulant",D553&gt;2,D553&lt;=4),192,IF(AND(L550="Vermögend und ambulant",D553&gt;1,D553&lt;=2),208,IF(AND(L550="Vermögend und ambulant",D553&gt;0,D553&lt;=1),298,IF(AND(L550="Vermögend und stationär",D553&gt;8,D553&lt;=1000),78,IF(AND(L550="Vermögend und stationär",D553&gt;4,D553&lt;=8),91,IF(AND(L550="Vermögend und stationär",D553&gt;2,D553&lt;=4),140,IF(AND(L550="Vermögend und stationär",D553&gt;1,D553&lt;=2),158,IF(AND(L550="Vermögend und stationär",D553&gt;0,D553&lt;=1),200,IF(AND(L550="Mittellos und ambulant",D553&gt;8,D553&lt;=1000),105,IF(AND(L550="Mittellos und ambulant",D553&gt;4,D553&lt;=8),122,IF(AND(L550="Mittellos und ambulant",D553&gt;2,D553&lt;=4),151,IF(AND(L550="Mittellos und ambulant",D553&gt;1,D553&lt;=2),170,IF(AND(L550="Mittellos und ambulant",D553&gt;0,D553&lt;=1),208,IF(AND(L550="Mittellos und stationär",D553&gt;8,D553&lt;=1000),62,IF(AND(L550="Mittellos und stationär",D553&gt;4,D553&lt;=8),87,IF(AND(L550="Mittellos und stationär",D553&gt;2,D553&lt;=4),124,IF(AND(L550="Mittellos und stationär",D553&gt;1,D553&lt;=2),129,IF(AND(L550="Mittellos und stationär",D553&gt;0,D553&lt;=1),194,""))))))))))))))))))))),IF(M549="Stufe B",IF(AND(L550="Auswahl treffen",D553&gt;=0,D553&lt;=1000),J549,IF(AND(L550="Vermögend und ambulant",D553&gt;8,D553&lt;=1000),161,IF(AND(L550="Vermögend und ambulant",D553&gt;4,D553&lt;=8),196,IF(AND(L550="Vermögend und ambulant",D553&gt;2,D553&lt;=4),238,IF(AND(L550="Vermögend und ambulant",D553&gt;1,D553&lt;=2),258,IF(AND(L550="Vermögend und ambulant",D553&gt;0,D553&lt;=1),370,IF(AND(L550="Vermögend und stationär",D553&gt;8,D553&lt;=1000),96,IF(AND(L550="Vermögend und stationär",D553&gt;4,D553&lt;=8),113,IF(AND(L550="Vermögend und stationär",D553&gt;2,D553&lt;=4),174,IF(AND(L550="Vermögend und stationär",D553&gt;1,D553&lt;=2),196,IF(AND(L550="Vermögend und stationär",D553&gt;0,D553&lt;=1),249,IF(AND(L550="Mittellos und ambulant",D553&gt;8,D553&lt;=1000),130,IF(AND(L550="Mittellos und ambulant",D553&gt;4,D553&lt;=8),151,IF(AND(L550="Mittellos und ambulant",D553&gt;2,D553&lt;=4),188,IF(AND(L550="Mittellos und ambulant",D553&gt;1,D553&lt;=2),211,IF(AND(L550="Mittellos und ambulant",D553&gt;0,D553&lt;=1),258,IF(AND(L550="Mittellos und stationär",D553&gt;8,D553&lt;=1000),78,IF(AND(L550="Mittellos und stationär",D553&gt;4,D553&lt;=8),107,IF(AND(L550="Mittellos und stationär",D553&gt;2,D553&lt;=4),154,IF(AND(L550="Mittellos und stationär",D553&gt;1,D553&lt;=2),158,IF(AND(L550="Mittellos und stationär",D553&gt;0,D553&lt;=1),241,""))))))))))))))))))))),IF(M549="Stufe C",IF(AND(L550="Auswahl treffen",D553&gt;=0,D553&lt;=1000),J549,IF(AND(L550="Vermögend und ambulant",D553&gt;8,D553&lt;=1000),211,IF(AND(L550="Vermögend und ambulant",D553&gt;4,D553&lt;=8),257,IF(AND(L550="Vermögend und ambulant",D553&gt;2,D553&lt;=4),312,IF(AND(L550="Vermögend und ambulant",D553&gt;1,D553&lt;=2),339,IF(AND(L550="Vermögend und ambulant",D553&gt;0,D553&lt;=1),486,IF(AND(L550="Vermögend und stationär",D553&gt;8,D553&lt;=1000),127,IF(AND(L550="Vermögend und stationär",D553&gt;4,D553&lt;=8),149,IF(AND(L550="Vermögend und stationär",D553&gt;2,D553&lt;=4),229,IF(AND(L550="Vermögend und stationär",D553&gt;1,D553&lt;=2),257,IF(AND(L550="Vermögend und stationär",D553&gt;0,D553&lt;=1),327,IF(AND(L550="Mittellos und ambulant",D553&gt;8,D553&lt;=1000),171,IF(AND(L550="Mittellos und ambulant",D553&gt;4,D553&lt;=8),198,IF(AND(L550="Mittellos und ambulant",D553&gt;2,D553&lt;=4),246,IF(AND(L550="Mittellos und ambulant",D553&gt;1,D553&lt;=2),277,IF(AND(L550="Mittellos und ambulant",D553&gt;0,D553&lt;=1),339,IF(AND(L550="Mittellos und stationär",D553&gt;8,D553&lt;=1000),102,IF(AND(L550="Mittellos und stationär",D553&gt;4,D553&lt;=8),141,IF(AND(L550="Mittellos und stationär",D553&gt;2,D553&lt;=4),202,IF(AND(L550="Mittellos und stationär",D553&gt;1,D553&lt;=2),208,IF(AND(L550="Mittellos und stationär",D553&gt;0,D553&lt;=1),317,""))))))))))))))))))))),"")))*3+(J549*90)</f>
        <v>#NUM!</v>
      </c>
      <c r="M554" s="507" t="str">
        <f>CONCATENATE(K554, K553)</f>
        <v>+Inflat.-P</v>
      </c>
      <c r="N554" s="216"/>
      <c r="O554" s="188" t="s">
        <v>118</v>
      </c>
      <c r="P554" s="188"/>
      <c r="Q554" s="221"/>
      <c r="R554" s="199"/>
      <c r="S554" s="190"/>
      <c r="T554" s="190"/>
      <c r="U554" s="191"/>
      <c r="V554" s="192"/>
      <c r="W554" s="222" t="s">
        <v>118</v>
      </c>
      <c r="X554" s="222" t="s">
        <v>117</v>
      </c>
      <c r="Y554" s="191" t="s">
        <v>26</v>
      </c>
      <c r="Z554" s="192"/>
      <c r="AA554" s="190"/>
      <c r="AB554" s="190"/>
      <c r="AC554" s="191"/>
      <c r="AD554" s="192"/>
      <c r="AE554" s="190"/>
      <c r="AF554" s="190"/>
      <c r="AG554" s="191"/>
      <c r="AH554" s="193"/>
      <c r="AI554" s="190"/>
      <c r="AJ554" s="190"/>
      <c r="AK554" s="374"/>
      <c r="AL554" s="348" t="s">
        <v>149</v>
      </c>
      <c r="AM554" s="354"/>
      <c r="AN554" s="354">
        <f>IF(SUM(O550:O558)=SUM(W550:W558), 0, SUM(O550:O558)-SUM(W550:W558))</f>
        <v>0</v>
      </c>
      <c r="AO554" s="354"/>
      <c r="AP554" s="354"/>
      <c r="AQ554" s="350">
        <f>AM554+AN554+AO554+AP554</f>
        <v>0</v>
      </c>
      <c r="AR554" s="769"/>
      <c r="AS554" s="769"/>
      <c r="AT554" s="769"/>
      <c r="BM554" s="335"/>
    </row>
    <row r="555" spans="1:65" ht="22.25" customHeight="1">
      <c r="A555" s="181">
        <f t="shared" si="184"/>
        <v>45292</v>
      </c>
      <c r="B555" s="484">
        <f>YEAR($A556)-1</f>
        <v>2023</v>
      </c>
      <c r="C555" s="489" t="s">
        <v>158</v>
      </c>
      <c r="D555" s="520" t="e">
        <f>D553+1</f>
        <v>#NUM!</v>
      </c>
      <c r="E555" s="194" t="e">
        <f>DATE(YEAR(E554),MONTH(E554),DAY(E554)+1)</f>
        <v>#NUM!</v>
      </c>
      <c r="F555" s="195" t="e">
        <f t="shared" si="195"/>
        <v>#NUM!</v>
      </c>
      <c r="G555" s="196" t="e">
        <f t="shared" si="196"/>
        <v>#NUM!</v>
      </c>
      <c r="H555" s="195" t="e">
        <f t="shared" si="197"/>
        <v>#NUM!</v>
      </c>
      <c r="I555" s="197">
        <f>IF(J557&lt;13,J557,"")</f>
        <v>9</v>
      </c>
      <c r="J555" s="224">
        <f>G550</f>
        <v>0</v>
      </c>
      <c r="K555" s="501" t="str">
        <f t="shared" si="188"/>
        <v/>
      </c>
      <c r="L555" s="471"/>
      <c r="M555" s="473" t="e">
        <f ca="1">SUM(J550-E556)&amp;" Tage"</f>
        <v>#NUM!</v>
      </c>
      <c r="N555" s="200"/>
      <c r="O555" s="201"/>
      <c r="P555" s="201"/>
      <c r="Q555" s="202"/>
      <c r="R555" s="189"/>
      <c r="S555" s="203"/>
      <c r="T555" s="203"/>
      <c r="U555" s="204"/>
      <c r="V555" s="192"/>
      <c r="W555" s="203"/>
      <c r="X555" s="203"/>
      <c r="Y555" s="204"/>
      <c r="Z555" s="192"/>
      <c r="AA555" s="203"/>
      <c r="AB555" s="203"/>
      <c r="AC555" s="204"/>
      <c r="AD555" s="192"/>
      <c r="AE555" s="203"/>
      <c r="AF555" s="203"/>
      <c r="AG555" s="204"/>
      <c r="AH555" s="193"/>
      <c r="AI555" s="203"/>
      <c r="AJ555" s="203"/>
      <c r="AK555" s="375"/>
      <c r="AL555" s="348"/>
      <c r="AM555" s="354"/>
      <c r="AN555" s="354"/>
      <c r="AO555" s="354"/>
      <c r="AP555" s="354"/>
      <c r="AQ555" s="350"/>
      <c r="AR555" s="769"/>
      <c r="AS555" s="769"/>
      <c r="AT555" s="769"/>
      <c r="BM555" s="335"/>
    </row>
    <row r="556" spans="1:65" ht="22.25" customHeight="1">
      <c r="A556" s="181">
        <f t="shared" si="184"/>
        <v>45292</v>
      </c>
      <c r="B556" s="485"/>
      <c r="C556" s="490"/>
      <c r="D556" s="521"/>
      <c r="E556" s="194" t="e">
        <f>DATE(YEAR(E555),MONTH(E555)+3,DAY(E555)-1)</f>
        <v>#NUM!</v>
      </c>
      <c r="F556" s="195" t="e">
        <f t="shared" si="195"/>
        <v>#NUM!</v>
      </c>
      <c r="G556" s="196" t="e">
        <f t="shared" si="196"/>
        <v>#NUM!</v>
      </c>
      <c r="H556" s="195" t="e">
        <f t="shared" si="197"/>
        <v>#NUM!</v>
      </c>
      <c r="I556" s="244">
        <f>IF(J558&lt;13,J558,"")</f>
        <v>6</v>
      </c>
      <c r="J556" s="224">
        <f>J555+3</f>
        <v>3</v>
      </c>
      <c r="K556" s="506" t="str">
        <f t="shared" si="188"/>
        <v>+Inflat.-P</v>
      </c>
      <c r="L556" s="511" t="e">
        <f>IF(M549="Stufe A",IF(AND(L550="Auswahl treffen",D555&gt;=0,D555&lt;=1000),J549,IF(AND(L550="Vermögend und ambulant",D555&gt;8,D555&lt;=1000),130,IF(AND(L550="Vermögend und ambulant",D555&gt;4,D555&lt;=8),158,IF(AND(L550="Vermögend und ambulant",D555&gt;2,D555&lt;=4),192,IF(AND(L550="Vermögend und ambulant",D555&gt;1,D555&lt;=2),208,IF(AND(L550="Vermögend und ambulant",D555&gt;0,D555&lt;=1),298,IF(AND(L550="Vermögend und stationär",D555&gt;8,D555&lt;=1000),78,IF(AND(L550="Vermögend und stationär",D555&gt;4,D555&lt;=8),91,IF(AND(L550="Vermögend und stationär",D555&gt;2,D555&lt;=4),140,IF(AND(L550="Vermögend und stationär",D555&gt;1,D555&lt;=2),158,IF(AND(L550="Vermögend und stationär",D555&gt;0,D555&lt;=1),200,IF(AND(L550="Mittellos und ambulant",D555&gt;8,D555&lt;=1000),105,IF(AND(L550="Mittellos und ambulant",D555&gt;4,D555&lt;=8),122,IF(AND(L550="Mittellos und ambulant",D555&gt;2,D555&lt;=4),151,IF(AND(L550="Mittellos und ambulant",D555&gt;1,D555&lt;=2),170,IF(AND(L550="Mittellos und ambulant",D555&gt;0,D555&lt;=1),208,IF(AND(L550="Mittellos und stationär",D555&gt;8,D555&lt;=1000),62,IF(AND(L550="Mittellos und stationär",D555&gt;4,D555&lt;=8),87,IF(AND(L550="Mittellos und stationär",D555&gt;2,D555&lt;=4),124,IF(AND(L550="Mittellos und stationär",D555&gt;1,D555&lt;=2),129,IF(AND(L550="Mittellos und stationär",D555&gt;0,D555&lt;=1),194,""))))))))))))))))))))),IF(M549="Stufe B",IF(AND(L550="Auswahl treffen",D555&gt;=0,D555&lt;=1000),J549,IF(AND(L550="Vermögend und ambulant",D555&gt;8,D555&lt;=1000),161,IF(AND(L550="Vermögend und ambulant",D555&gt;4,D555&lt;=8),196,IF(AND(L550="Vermögend und ambulant",D555&gt;2,D555&lt;=4),238,IF(AND(L550="Vermögend und ambulant",D555&gt;1,D555&lt;=2),258,IF(AND(L550="Vermögend und ambulant",D555&gt;0,D555&lt;=1),370,IF(AND(L550="Vermögend und stationär",D555&gt;8,D555&lt;=1000),96,IF(AND(L550="Vermögend und stationär",D555&gt;4,D555&lt;=8),113,IF(AND(L550="Vermögend und stationär",D555&gt;2,D555&lt;=4),174,IF(AND(L550="Vermögend und stationär",D555&gt;1,D555&lt;=2),196,IF(AND(L550="Vermögend und stationär",D555&gt;0,D555&lt;=1),249,IF(AND(L550="Mittellos und ambulant",D555&gt;8,D555&lt;=1000),130,IF(AND(L550="Mittellos und ambulant",D555&gt;4,D555&lt;=8),151,IF(AND(L550="Mittellos und ambulant",D555&gt;2,D555&lt;=4),188,IF(AND(L550="Mittellos und ambulant",D555&gt;1,D555&lt;=2),211,IF(AND(L550="Mittellos und ambulant",D555&gt;0,D555&lt;=1),258,IF(AND(L550="Mittellos und stationär",D555&gt;8,D555&lt;=1000),78,IF(AND(L550="Mittellos und stationär",D555&gt;4,D555&lt;=8),107,IF(AND(L550="Mittellos und stationär",D555&gt;2,D555&lt;=4),154,IF(AND(L550="Mittellos und stationär",D555&gt;1,D555&lt;=2),158,IF(AND(L550="Mittellos und stationär",D555&gt;0,D555&lt;=1),241,""))))))))))))))))))))),IF(M549="Stufe C",IF(AND(L550="Auswahl treffen",D555&gt;=0,D555&lt;=1000),J549,IF(AND(L550="Vermögend und ambulant",D555&gt;8,D555&lt;=1000),211,IF(AND(L550="Vermögend und ambulant",D555&gt;4,D555&lt;=8),257,IF(AND(L550="Vermögend und ambulant",D555&gt;2,D555&lt;=4),312,IF(AND(L550="Vermögend und ambulant",D555&gt;1,D555&lt;=2),339,IF(AND(L550="Vermögend und ambulant",D555&gt;0,D555&lt;=1),486,IF(AND(L550="Vermögend und stationär",D555&gt;8,D555&lt;=1000),127,IF(AND(L550="Vermögend und stationär",D555&gt;4,D555&lt;=8),149,IF(AND(L550="Vermögend und stationär",D555&gt;2,D555&lt;=4),229,IF(AND(L550="Vermögend und stationär",D555&gt;1,D555&lt;=2),257,IF(AND(L550="Vermögend und stationär",D555&gt;0,D555&lt;=1),327,IF(AND(L550="Mittellos und ambulant",D555&gt;8,D555&lt;=1000),171,IF(AND(L550="Mittellos und ambulant",D555&gt;4,D555&lt;=8),198,IF(AND(L550="Mittellos und ambulant",D555&gt;2,D555&lt;=4),246,IF(AND(L550="Mittellos und ambulant",D555&gt;1,D555&lt;=2),277,IF(AND(L550="Mittellos und ambulant",D555&gt;0,D555&lt;=1),339,IF(AND(L550="Mittellos und stationär",D555&gt;8,D555&lt;=1000),102,IF(AND(L550="Mittellos und stationär",D555&gt;4,D555&lt;=8),141,IF(AND(L550="Mittellos und stationär",D555&gt;2,D555&lt;=4),202,IF(AND(L550="Mittellos und stationär",D555&gt;1,D555&lt;=2),208,IF(AND(L550="Mittellos und stationär",D555&gt;0,D555&lt;=1),317,""))))))))))))))))))))),"")))*3+(J549*90)</f>
        <v>#NUM!</v>
      </c>
      <c r="M556" s="507" t="str">
        <f>CONCATENATE(K556, K555)</f>
        <v>+Inflat.-P</v>
      </c>
      <c r="N556" s="206"/>
      <c r="O556" s="207"/>
      <c r="P556" s="206" t="s">
        <v>118</v>
      </c>
      <c r="Q556" s="226"/>
      <c r="R556" s="189"/>
      <c r="S556" s="203"/>
      <c r="T556" s="203"/>
      <c r="U556" s="204"/>
      <c r="V556" s="192"/>
      <c r="W556" s="203"/>
      <c r="X556" s="203"/>
      <c r="Y556" s="204"/>
      <c r="Z556" s="192"/>
      <c r="AA556" s="209" t="s">
        <v>118</v>
      </c>
      <c r="AB556" s="209" t="s">
        <v>117</v>
      </c>
      <c r="AC556" s="204" t="s">
        <v>26</v>
      </c>
      <c r="AD556" s="192"/>
      <c r="AE556" s="203"/>
      <c r="AF556" s="203"/>
      <c r="AG556" s="204"/>
      <c r="AH556" s="193"/>
      <c r="AI556" s="203"/>
      <c r="AJ556" s="203"/>
      <c r="AK556" s="375"/>
      <c r="AL556" s="348" t="s">
        <v>150</v>
      </c>
      <c r="AM556" s="354"/>
      <c r="AN556" s="354"/>
      <c r="AO556" s="354">
        <f>IF(SUM(P550:P558)=SUM(AA550:AA558), 0, SUM(P550:P558)-SUM(AA550:AA558))</f>
        <v>0</v>
      </c>
      <c r="AP556" s="354"/>
      <c r="AQ556" s="350">
        <f>AM556+AN556+AO556+AP556</f>
        <v>0</v>
      </c>
      <c r="AR556" s="769"/>
      <c r="AS556" s="769"/>
      <c r="AT556" s="769"/>
      <c r="BM556" s="335"/>
    </row>
    <row r="557" spans="1:65" ht="22.25" customHeight="1">
      <c r="A557" s="181">
        <f t="shared" si="184"/>
        <v>45292</v>
      </c>
      <c r="B557" s="486"/>
      <c r="C557" s="489" t="s">
        <v>158</v>
      </c>
      <c r="D557" s="522" t="e">
        <f>D555+1</f>
        <v>#NUM!</v>
      </c>
      <c r="E557" s="211" t="e">
        <f>DATE(YEAR(E556),MONTH(E556),DAY(E556)+1)</f>
        <v>#NUM!</v>
      </c>
      <c r="F557" s="227" t="e">
        <f t="shared" si="195"/>
        <v>#NUM!</v>
      </c>
      <c r="G557" s="228" t="e">
        <f t="shared" si="196"/>
        <v>#NUM!</v>
      </c>
      <c r="H557" s="227" t="e">
        <f t="shared" si="197"/>
        <v>#NUM!</v>
      </c>
      <c r="I557" s="231">
        <f>IF(J556&lt;13,J556,"")</f>
        <v>3</v>
      </c>
      <c r="J557" s="230">
        <f>J558+3</f>
        <v>9</v>
      </c>
      <c r="K557" s="501" t="str">
        <f t="shared" si="188"/>
        <v/>
      </c>
      <c r="L557" s="471"/>
      <c r="M557" s="473" t="e">
        <f ca="1">SUM(J550-E558)&amp;" Tage"</f>
        <v>#NUM!</v>
      </c>
      <c r="N557" s="216"/>
      <c r="O557" s="188"/>
      <c r="P557" s="188"/>
      <c r="Q557" s="217"/>
      <c r="R557" s="189"/>
      <c r="S557" s="190"/>
      <c r="T557" s="190"/>
      <c r="U557" s="191"/>
      <c r="V557" s="192"/>
      <c r="W557" s="190"/>
      <c r="X557" s="190"/>
      <c r="Y557" s="191"/>
      <c r="Z557" s="192"/>
      <c r="AA557" s="190"/>
      <c r="AB557" s="190"/>
      <c r="AC557" s="191"/>
      <c r="AD557" s="192"/>
      <c r="AE557" s="190"/>
      <c r="AF557" s="190"/>
      <c r="AG557" s="191"/>
      <c r="AH557" s="193"/>
      <c r="AI557" s="190"/>
      <c r="AJ557" s="190"/>
      <c r="AK557" s="374"/>
      <c r="AL557" s="348"/>
      <c r="AM557" s="354"/>
      <c r="AN557" s="354"/>
      <c r="AO557" s="354"/>
      <c r="AP557" s="354"/>
      <c r="AQ557" s="350"/>
      <c r="AR557" s="769"/>
      <c r="AS557" s="769"/>
      <c r="AT557" s="769"/>
      <c r="BM557" s="335"/>
    </row>
    <row r="558" spans="1:65" ht="22.25" customHeight="1">
      <c r="A558" s="181">
        <f t="shared" si="184"/>
        <v>45292</v>
      </c>
      <c r="B558" s="485"/>
      <c r="C558" s="490"/>
      <c r="D558" s="521"/>
      <c r="E558" s="218" t="e">
        <f>DATE(YEAR(E557),MONTH(E557)+3,DAY(E557)-1)</f>
        <v>#NUM!</v>
      </c>
      <c r="F558" s="227" t="e">
        <f t="shared" si="195"/>
        <v>#NUM!</v>
      </c>
      <c r="G558" s="228" t="e">
        <f t="shared" si="196"/>
        <v>#NUM!</v>
      </c>
      <c r="H558" s="227" t="e">
        <f t="shared" si="197"/>
        <v>#NUM!</v>
      </c>
      <c r="I558" s="231">
        <f>IF(J555&lt;13,J555,"")</f>
        <v>0</v>
      </c>
      <c r="J558" s="230">
        <f>J556+3</f>
        <v>6</v>
      </c>
      <c r="K558" s="501" t="str">
        <f t="shared" si="188"/>
        <v>+Inflat.-P</v>
      </c>
      <c r="L558" s="508" t="e">
        <f>IF(M549="Stufe A",IF(AND(L550="Auswahl treffen",D557&gt;=0,D557&lt;=1000),J549,IF(AND(L550="Vermögend und ambulant",D557&gt;8,D557&lt;=1000),130,IF(AND(L550="Vermögend und ambulant",D557&gt;4,D557&lt;=8),158,IF(AND(L550="Vermögend und ambulant",D557&gt;2,D557&lt;=4),192,IF(AND(L550="Vermögend und ambulant",D557&gt;1,D557&lt;=2),208,IF(AND(L550="Vermögend und ambulant",D557&gt;0,D557&lt;=1),298,IF(AND(L550="Vermögend und stationär",D557&gt;8,D557&lt;=1000),78,IF(AND(L550="Vermögend und stationär",D557&gt;4,D557&lt;=8),91,IF(AND(L550="Vermögend und stationär",D557&gt;2,D557&lt;=4),140,IF(AND(L550="Vermögend und stationär",D557&gt;1,D557&lt;=2),158,IF(AND(L550="Vermögend und stationär",D557&gt;0,D557&lt;=1),200,IF(AND(L550="Mittellos und ambulant",D557&gt;8,D557&lt;=1000),105,IF(AND(L550="Mittellos und ambulant",D557&gt;4,D557&lt;=8),122,IF(AND(L550="Mittellos und ambulant",D557&gt;2,D557&lt;=4),151,IF(AND(L550="Mittellos und ambulant",D557&gt;1,D557&lt;=2),170,IF(AND(L550="Mittellos und ambulant",D557&gt;0,D557&lt;=1),208,IF(AND(L550="Mittellos und stationär",D557&gt;8,D557&lt;=1000),62,IF(AND(L550="Mittellos und stationär",D557&gt;4,D557&lt;=8),87,IF(AND(L550="Mittellos und stationär",D557&gt;2,D557&lt;=4),124,IF(AND(L550="Mittellos und stationär",D557&gt;1,D557&lt;=2),129,IF(AND(L550="Mittellos und stationär",D557&gt;0,D557&lt;=1),194,""))))))))))))))))))))),IF(M549="Stufe B",IF(AND(L550="Auswahl treffen",D557&gt;=0,D557&lt;=1000),J549,IF(AND(L550="Vermögend und ambulant",D557&gt;8,D557&lt;=1000),161,IF(AND(L550="Vermögend und ambulant",D557&gt;4,D557&lt;=8),196,IF(AND(L550="Vermögend und ambulant",D557&gt;2,D557&lt;=4),238,IF(AND(L550="Vermögend und ambulant",D557&gt;1,D557&lt;=2),258,IF(AND(L550="Vermögend und ambulant",D557&gt;0,D557&lt;=1),370,IF(AND(L550="Vermögend und stationär",D557&gt;8,D557&lt;=1000),96,IF(AND(L550="Vermögend und stationär",D557&gt;4,D557&lt;=8),113,IF(AND(L550="Vermögend und stationär",D557&gt;2,D557&lt;=4),174,IF(AND(L550="Vermögend und stationär",D557&gt;1,D557&lt;=2),196,IF(AND(L550="Vermögend und stationär",D557&gt;0,D557&lt;=1),249,IF(AND(L550="Mittellos und ambulant",D557&gt;8,D557&lt;=1000),130,IF(AND(L550="Mittellos und ambulant",D557&gt;4,D557&lt;=8),151,IF(AND(L550="Mittellos und ambulant",D557&gt;2,D557&lt;=4),188,IF(AND(L550="Mittellos und ambulant",D557&gt;1,D557&lt;=2),211,IF(AND(L550="Mittellos und ambulant",D557&gt;0,D557&lt;=1),258,IF(AND(L550="Mittellos und stationär",D557&gt;8,D557&lt;=1000),78,IF(AND(L550="Mittellos und stationär",D557&gt;4,D557&lt;=8),107,IF(AND(L550="Mittellos und stationär",D557&gt;2,D557&lt;=4),154,IF(AND(L550="Mittellos und stationär",D557&gt;1,D557&lt;=2),158,IF(AND(L550="Mittellos und stationär",D557&gt;0,D557&lt;=1),241,""))))))))))))))))))))),IF(M549="Stufe C",IF(AND(L550="Auswahl treffen",D557&gt;=0,D557&lt;=1000),J549,IF(AND(L550="Vermögend und ambulant",D557&gt;8,D557&lt;=1000),211,IF(AND(L550="Vermögend und ambulant",D557&gt;4,D557&lt;=8),257,IF(AND(L550="Vermögend und ambulant",D557&gt;2,D557&lt;=4),312,IF(AND(L550="Vermögend und ambulant",D557&gt;1,D557&lt;=2),339,IF(AND(L550="Vermögend und ambulant",D557&gt;0,D557&lt;=1),486,IF(AND(L550="Vermögend und stationär",D557&gt;8,D557&lt;=1000),127,IF(AND(L550="Vermögend und stationär",D557&gt;4,D557&lt;=8),149,IF(AND(L550="Vermögend und stationär",D557&gt;2,D557&lt;=4),229,IF(AND(L550="Vermögend und stationär",D557&gt;1,D557&lt;=2),257,IF(AND(L550="Vermögend und stationär",D557&gt;0,D557&lt;=1),327,IF(AND(L550="Mittellos und ambulant",D557&gt;8,D557&lt;=1000),171,IF(AND(L550="Mittellos und ambulant",D557&gt;4,D557&lt;=8),198,IF(AND(L550="Mittellos und ambulant",D557&gt;2,D557&lt;=4),246,IF(AND(L550="Mittellos und ambulant",D557&gt;1,D557&lt;=2),277,IF(AND(L550="Mittellos und ambulant",D557&gt;0,D557&lt;=1),339,IF(AND(L550="Mittellos und stationär",D557&gt;8,D557&lt;=1000),102,IF(AND(L550="Mittellos und stationär",D557&gt;4,D557&lt;=8),141,IF(AND(L550="Mittellos und stationär",D557&gt;2,D557&lt;=4),202,IF(AND(L550="Mittellos und stationär",D557&gt;1,D557&lt;=2),208,IF(AND(L550="Mittellos und stationär",D557&gt;0,D557&lt;=1),317,""))))))))))))))))))))),"")))*3+(J549*90)</f>
        <v>#NUM!</v>
      </c>
      <c r="M558" s="507" t="str">
        <f>CONCATENATE(K558, K557)</f>
        <v>+Inflat.-P</v>
      </c>
      <c r="N558" s="216"/>
      <c r="O558" s="188"/>
      <c r="P558" s="188"/>
      <c r="Q558" s="217" t="s">
        <v>118</v>
      </c>
      <c r="R558" s="189"/>
      <c r="S558" s="190"/>
      <c r="T558" s="190"/>
      <c r="U558" s="191"/>
      <c r="V558" s="192"/>
      <c r="W558" s="190"/>
      <c r="X558" s="190"/>
      <c r="Y558" s="191"/>
      <c r="Z558" s="192"/>
      <c r="AA558" s="190"/>
      <c r="AB558" s="190"/>
      <c r="AC558" s="191"/>
      <c r="AD558" s="192"/>
      <c r="AE558" s="190" t="s">
        <v>118</v>
      </c>
      <c r="AF558" s="190" t="s">
        <v>117</v>
      </c>
      <c r="AG558" s="191" t="s">
        <v>26</v>
      </c>
      <c r="AH558" s="193"/>
      <c r="AI558" s="190" t="s">
        <v>118</v>
      </c>
      <c r="AJ558" s="190" t="s">
        <v>117</v>
      </c>
      <c r="AK558" s="374" t="s">
        <v>26</v>
      </c>
      <c r="AL558" s="348" t="s">
        <v>151</v>
      </c>
      <c r="AM558" s="354"/>
      <c r="AN558" s="354"/>
      <c r="AO558" s="354"/>
      <c r="AP558" s="354">
        <f>IF(SUM(Q550:Q558)=SUM(AE550:AE558,AI550:AI558), 0, SUM(Q550:Q558)-SUM(AE550:AE558,AI550:AI558))</f>
        <v>0</v>
      </c>
      <c r="AQ558" s="350">
        <f>AM558+AN558+AO558+AP558</f>
        <v>0</v>
      </c>
      <c r="AR558" s="769"/>
      <c r="AS558" s="769"/>
      <c r="AT558" s="769"/>
      <c r="BM558" s="335"/>
    </row>
    <row r="559" spans="1:65" ht="22" customHeight="1">
      <c r="A559" s="181">
        <f t="shared" si="184"/>
        <v>45292</v>
      </c>
      <c r="B559" s="232" t="s">
        <v>74</v>
      </c>
      <c r="C559" s="233" t="s">
        <v>75</v>
      </c>
      <c r="D559" s="234" t="s">
        <v>76</v>
      </c>
      <c r="E559" s="235" t="s">
        <v>11</v>
      </c>
      <c r="F559" s="235" t="s">
        <v>4</v>
      </c>
      <c r="G559" s="235" t="s">
        <v>5</v>
      </c>
      <c r="H559" s="235" t="s">
        <v>6</v>
      </c>
      <c r="I559" s="236" t="s">
        <v>77</v>
      </c>
      <c r="J559" s="306"/>
      <c r="K559" s="506" t="str">
        <f t="shared" si="188"/>
        <v/>
      </c>
      <c r="L559" s="306" t="str">
        <f>IFERROR(VLOOKUP(B560,'Aktuelle Einnahmen'!A2:J104,10,0),"")</f>
        <v/>
      </c>
      <c r="M559" s="510" t="str">
        <f>M549</f>
        <v>Stufe C</v>
      </c>
      <c r="N559" s="237"/>
      <c r="O559" s="238"/>
      <c r="P559" s="238"/>
      <c r="Q559" s="239"/>
      <c r="R559" s="240"/>
      <c r="S559" s="241"/>
      <c r="T559" s="241"/>
      <c r="U559" s="242"/>
      <c r="V559" s="243"/>
      <c r="W559" s="241"/>
      <c r="X559" s="241"/>
      <c r="Y559" s="242"/>
      <c r="Z559" s="243"/>
      <c r="AA559" s="241"/>
      <c r="AB559" s="241"/>
      <c r="AC559" s="242"/>
      <c r="AD559" s="243"/>
      <c r="AE559" s="241"/>
      <c r="AF559" s="241"/>
      <c r="AG559" s="242"/>
      <c r="AH559" s="240"/>
      <c r="AI559" s="241"/>
      <c r="AJ559" s="241"/>
      <c r="AK559" s="377"/>
      <c r="AL559" s="347"/>
      <c r="AM559" s="353"/>
      <c r="AN559" s="353"/>
      <c r="AO559" s="353"/>
      <c r="AP559" s="353"/>
      <c r="AQ559" s="349"/>
      <c r="AR559" s="768"/>
      <c r="AS559" s="768"/>
      <c r="AT559" s="768"/>
      <c r="BM559" s="335"/>
    </row>
    <row r="560" spans="1:65" ht="23" customHeight="1">
      <c r="A560" s="181">
        <f t="shared" si="184"/>
        <v>45292</v>
      </c>
      <c r="B560" s="182">
        <v>56</v>
      </c>
      <c r="C560" s="245">
        <f>IFERROR(VLOOKUP($B560,'Aktuelle Einnahmen'!A2:G104,3,0),"")</f>
        <v>0</v>
      </c>
      <c r="D560" s="246">
        <f>IFERROR(VLOOKUP($B560,'Aktuelle Einnahmen'!A2:G104,2,0),"")</f>
        <v>0</v>
      </c>
      <c r="E560" s="247">
        <f>IFERROR(VLOOKUP($B560,'Aktuelle Einnahmen'!A2:G104,4,0),"")</f>
        <v>0</v>
      </c>
      <c r="F560" s="94">
        <f>IFERROR(VLOOKUP($B560,'Aktuelle Einnahmen'!A2:G104,5,0),"")</f>
        <v>0</v>
      </c>
      <c r="G560" s="94">
        <f>IFERROR(VLOOKUP($B560,'Aktuelle Einnahmen'!A2:G104,6,0),"")</f>
        <v>0</v>
      </c>
      <c r="H560" s="94">
        <f>IFERROR(VLOOKUP($B560,'Aktuelle Einnahmen'!A2:G104,7,0),"")</f>
        <v>0</v>
      </c>
      <c r="I560" s="186" t="e">
        <f>DATE(H560,G560,F560)</f>
        <v>#NUM!</v>
      </c>
      <c r="J560" s="472">
        <f ca="1">J550</f>
        <v>45475</v>
      </c>
      <c r="K560" s="501" t="str">
        <f t="shared" si="188"/>
        <v>+Inflat.-P</v>
      </c>
      <c r="L560" s="1262" t="str">
        <f>IFERROR(VLOOKUP(B560,'Aktuelle Einnahmen'!A22:I124,9,0),"")</f>
        <v>Auswahl treffen</v>
      </c>
      <c r="M560" s="1263"/>
      <c r="N560" s="261"/>
      <c r="O560" s="261"/>
      <c r="P560" s="261"/>
      <c r="Q560" s="261"/>
      <c r="R560" s="189"/>
      <c r="S560" s="190"/>
      <c r="T560" s="190"/>
      <c r="U560" s="191"/>
      <c r="V560" s="192"/>
      <c r="W560" s="190"/>
      <c r="X560" s="190"/>
      <c r="Y560" s="191"/>
      <c r="Z560" s="192"/>
      <c r="AA560" s="190"/>
      <c r="AB560" s="190"/>
      <c r="AC560" s="191"/>
      <c r="AD560" s="192"/>
      <c r="AE560" s="190"/>
      <c r="AF560" s="190"/>
      <c r="AG560" s="191"/>
      <c r="AH560" s="193"/>
      <c r="AI560" s="190"/>
      <c r="AJ560" s="190"/>
      <c r="AK560" s="374"/>
      <c r="AL560" s="348"/>
      <c r="AM560" s="354"/>
      <c r="AN560" s="354"/>
      <c r="AO560" s="354"/>
      <c r="AP560" s="354"/>
      <c r="AQ560" s="350"/>
      <c r="AR560" s="769"/>
      <c r="AS560" s="769"/>
      <c r="AT560" s="769"/>
      <c r="BM560" s="335"/>
    </row>
    <row r="561" spans="1:65" ht="22.25" customHeight="1">
      <c r="A561" s="181">
        <f t="shared" si="184"/>
        <v>45292</v>
      </c>
      <c r="B561" s="484" t="e">
        <f>DAY(I560)</f>
        <v>#NUM!</v>
      </c>
      <c r="C561" s="489" t="s">
        <v>158</v>
      </c>
      <c r="D561" s="520" t="e">
        <f>(I561*4)+J561/3+1</f>
        <v>#NUM!</v>
      </c>
      <c r="E561" s="194" t="e">
        <f>J563+1</f>
        <v>#NUM!</v>
      </c>
      <c r="F561" s="195" t="e">
        <f t="shared" ref="F561:F568" si="198">DAY(E561)</f>
        <v>#NUM!</v>
      </c>
      <c r="G561" s="196" t="e">
        <f t="shared" ref="G561:G568" si="199">MONTH(E561)</f>
        <v>#NUM!</v>
      </c>
      <c r="H561" s="195" t="e">
        <f t="shared" ref="H561:H568" si="200">YEAR(E561)</f>
        <v>#NUM!</v>
      </c>
      <c r="I561" s="197" t="e">
        <f>H561-(H560+2000)</f>
        <v>#NUM!</v>
      </c>
      <c r="J561" s="198" t="e">
        <f>G561-G560</f>
        <v>#NUM!</v>
      </c>
      <c r="K561" s="506" t="str">
        <f>L559</f>
        <v/>
      </c>
      <c r="L561" s="469"/>
      <c r="M561" s="473" t="e">
        <f ca="1">SUM(J560-E562)&amp;" Tage"</f>
        <v>#NUM!</v>
      </c>
      <c r="N561" s="206"/>
      <c r="O561" s="201"/>
      <c r="P561" s="201"/>
      <c r="Q561" s="202"/>
      <c r="R561" s="189"/>
      <c r="S561" s="203"/>
      <c r="T561" s="203"/>
      <c r="U561" s="204"/>
      <c r="V561" s="192"/>
      <c r="W561" s="203"/>
      <c r="X561" s="203"/>
      <c r="Y561" s="204"/>
      <c r="Z561" s="192"/>
      <c r="AA561" s="203"/>
      <c r="AB561" s="203"/>
      <c r="AC561" s="204"/>
      <c r="AD561" s="192"/>
      <c r="AE561" s="203"/>
      <c r="AF561" s="203"/>
      <c r="AG561" s="204"/>
      <c r="AH561" s="193"/>
      <c r="AI561" s="203"/>
      <c r="AJ561" s="203"/>
      <c r="AK561" s="375"/>
      <c r="AL561" s="348"/>
      <c r="AM561" s="354"/>
      <c r="AN561" s="354"/>
      <c r="AO561" s="354"/>
      <c r="AP561" s="354"/>
      <c r="AQ561" s="350"/>
      <c r="AR561" s="769"/>
      <c r="AS561" s="769"/>
      <c r="AT561" s="769"/>
      <c r="BM561" s="335"/>
    </row>
    <row r="562" spans="1:65" ht="22.25" customHeight="1">
      <c r="A562" s="181">
        <f t="shared" si="184"/>
        <v>45292</v>
      </c>
      <c r="B562" s="485"/>
      <c r="C562" s="490"/>
      <c r="D562" s="521"/>
      <c r="E562" s="194" t="e">
        <f>DATE(YEAR(E561),MONTH(E561)+3,DAY(E561)-1)</f>
        <v>#NUM!</v>
      </c>
      <c r="F562" s="195" t="e">
        <f t="shared" si="198"/>
        <v>#NUM!</v>
      </c>
      <c r="G562" s="196" t="e">
        <f t="shared" si="199"/>
        <v>#NUM!</v>
      </c>
      <c r="H562" s="195" t="e">
        <f t="shared" si="200"/>
        <v>#NUM!</v>
      </c>
      <c r="I562" s="244">
        <v>-1</v>
      </c>
      <c r="J562" s="198" t="e">
        <f>F561-F560</f>
        <v>#NUM!</v>
      </c>
      <c r="K562" s="501" t="str">
        <f t="shared" si="188"/>
        <v>+Inflat.-P</v>
      </c>
      <c r="L562" s="511" t="e">
        <f>IF(M559="Stufe A",IF(AND(L560="Auswahl treffen",D561&gt;=0,D561&lt;=1000),J559,IF(AND(L560="Vermögend und ambulant",D561&gt;8,D561&lt;=1000),130,IF(AND(L560="Vermögend und ambulant",D561&gt;4,D561&lt;=8),158,IF(AND(L560="Vermögend und ambulant",D561&gt;2,D561&lt;=4),192,IF(AND(L560="Vermögend und ambulant",D561&gt;1,D561&lt;=2),208,IF(AND(L560="Vermögend und ambulant",D561&gt;0,D561&lt;=1),298,IF(AND(L560="Vermögend und stationär",D561&gt;8,D561&lt;=1000),78,IF(AND(L560="Vermögend und stationär",D561&gt;4,D561&lt;=8),91,IF(AND(L560="Vermögend und stationär",D561&gt;2,D561&lt;=4),140,IF(AND(L560="Vermögend und stationär",D561&gt;1,D561&lt;=2),158,IF(AND(L560="Vermögend und stationär",D561&gt;0,D561&lt;=1),200,IF(AND(L560="Mittellos und ambulant",D561&gt;8,D561&lt;=1000),105,IF(AND(L560="Mittellos und ambulant",D561&gt;4,D561&lt;=8),122,IF(AND(L560="Mittellos und ambulant",D561&gt;2,D561&lt;=4),151,IF(AND(L560="Mittellos und ambulant",D561&gt;1,D561&lt;=2),170,IF(AND(L560="Mittellos und ambulant",D561&gt;0,D561&lt;=1),208,IF(AND(L560="Mittellos und stationär",D561&gt;8,D561&lt;=1000),62,IF(AND(L560="Mittellos und stationär",D561&gt;4,D561&lt;=8),87,IF(AND(L560="Mittellos und stationär",D561&gt;2,D561&lt;=4),124,IF(AND(L560="Mittellos und stationär",D561&gt;1,D561&lt;=2),129,IF(AND(L560="Mittellos und stationär",D561&gt;0,D561&lt;=1),194,""))))))))))))))))))))),IF(M559="Stufe B",IF(AND(L560="Auswahl treffen",D561&gt;=0,D561&lt;=1000),J559,IF(AND(L560="Vermögend und ambulant",D561&gt;8,D561&lt;=1000),161,IF(AND(L560="Vermögend und ambulant",D561&gt;4,D561&lt;=8),196,IF(AND(L560="Vermögend und ambulant",D561&gt;2,D561&lt;=4),238,IF(AND(L560="Vermögend und ambulant",D561&gt;1,D561&lt;=2),258,IF(AND(L560="Vermögend und ambulant",D561&gt;0,D561&lt;=1),370,IF(AND(L560="Vermögend und stationär",D561&gt;8,D561&lt;=1000),96,IF(AND(L560="Vermögend und stationär",D561&gt;4,D561&lt;=8),113,IF(AND(L560="Vermögend und stationär",D561&gt;2,D561&lt;=4),174,IF(AND(L560="Vermögend und stationär",D561&gt;1,D561&lt;=2),196,IF(AND(L560="Vermögend und stationär",D561&gt;0,D561&lt;=1),249,IF(AND(L560="Mittellos und ambulant",D561&gt;8,D561&lt;=1000),130,IF(AND(L560="Mittellos und ambulant",D561&gt;4,D561&lt;=8),151,IF(AND(L560="Mittellos und ambulant",D561&gt;2,D561&lt;=4),188,IF(AND(L560="Mittellos und ambulant",D561&gt;1,D561&lt;=2),211,IF(AND(L560="Mittellos und ambulant",D561&gt;0,D561&lt;=1),258,IF(AND(L560="Mittellos und stationär",D561&gt;8,D561&lt;=1000),78,IF(AND(L560="Mittellos und stationär",D561&gt;4,D561&lt;=8),107,IF(AND(L560="Mittellos und stationär",D561&gt;2,D561&lt;=4),154,IF(AND(L560="Mittellos und stationär",D561&gt;1,D561&lt;=2),158,IF(AND(L560="Mittellos und stationär",D561&gt;0,D561&lt;=1),241,""))))))))))))))))))))),IF(M559="Stufe C",IF(AND(L560="Auswahl treffen",D561&gt;=0,D561&lt;=1000),J559,IF(AND(L560="Vermögend und ambulant",D561&gt;8,D561&lt;=1000),211,IF(AND(L560="Vermögend und ambulant",D561&gt;4,D561&lt;=8),257,IF(AND(L560="Vermögend und ambulant",D561&gt;2,D561&lt;=4),312,IF(AND(L560="Vermögend und ambulant",D561&gt;1,D561&lt;=2),339,IF(AND(L560="Vermögend und ambulant",D561&gt;0,D561&lt;=1),486,IF(AND(L560="Vermögend und stationär",D561&gt;8,D561&lt;=1000),127,IF(AND(L560="Vermögend und stationär",D561&gt;4,D561&lt;=8),149,IF(AND(L560="Vermögend und stationär",D561&gt;2,D561&lt;=4),229,IF(AND(L560="Vermögend und stationär",D561&gt;1,D561&lt;=2),257,IF(AND(L560="Vermögend und stationär",D561&gt;0,D561&lt;=1),327,IF(AND(L560="Mittellos und ambulant",D561&gt;8,D561&lt;=1000),171,IF(AND(L560="Mittellos und ambulant",D561&gt;4,D561&lt;=8),198,IF(AND(L560="Mittellos und ambulant",D561&gt;2,D561&lt;=4),246,IF(AND(L560="Mittellos und ambulant",D561&gt;1,D561&lt;=2),277,IF(AND(L560="Mittellos und ambulant",D561&gt;0,D561&lt;=1),339,IF(AND(L560="Mittellos und stationär",D561&gt;8,D561&lt;=1000),102,IF(AND(L560="Mittellos und stationär",D561&gt;4,D561&lt;=8),141,IF(AND(L560="Mittellos und stationär",D561&gt;2,D561&lt;=4),202,IF(AND(L560="Mittellos und stationär",D561&gt;1,D561&lt;=2),208,IF(AND(L560="Mittellos und stationär",D561&gt;0,D561&lt;=1),317,""))))))))))))))))))))),"")))*3+(J559*90)</f>
        <v>#NUM!</v>
      </c>
      <c r="M562" s="507" t="str">
        <f>CONCATENATE(K562, K561)</f>
        <v>+Inflat.-P</v>
      </c>
      <c r="N562" s="206" t="s">
        <v>118</v>
      </c>
      <c r="O562" s="207"/>
      <c r="P562" s="207"/>
      <c r="Q562" s="208"/>
      <c r="R562" s="187"/>
      <c r="S562" s="209" t="s">
        <v>118</v>
      </c>
      <c r="T562" s="201" t="s">
        <v>117</v>
      </c>
      <c r="U562" s="210" t="s">
        <v>26</v>
      </c>
      <c r="V562" s="192"/>
      <c r="W562" s="203"/>
      <c r="X562" s="203"/>
      <c r="Y562" s="210"/>
      <c r="Z562" s="192"/>
      <c r="AA562" s="203"/>
      <c r="AB562" s="203"/>
      <c r="AC562" s="210"/>
      <c r="AD562" s="192"/>
      <c r="AE562" s="203"/>
      <c r="AF562" s="203"/>
      <c r="AG562" s="210"/>
      <c r="AH562" s="193"/>
      <c r="AI562" s="203"/>
      <c r="AJ562" s="203"/>
      <c r="AK562" s="376"/>
      <c r="AL562" s="348" t="s">
        <v>148</v>
      </c>
      <c r="AM562" s="354">
        <f>IF(SUM(N560:N568)=SUM(S560:S568), 0, SUM(N560:N568)-SUM(S560:S568))</f>
        <v>0</v>
      </c>
      <c r="AN562" s="354"/>
      <c r="AO562" s="354"/>
      <c r="AP562" s="354"/>
      <c r="AQ562" s="350">
        <f>AM562+AN562+AO562+AP562</f>
        <v>0</v>
      </c>
      <c r="AR562" s="769"/>
      <c r="AS562" s="769"/>
      <c r="AT562" s="769"/>
      <c r="BM562" s="335"/>
    </row>
    <row r="563" spans="1:65" ht="22.25" customHeight="1">
      <c r="A563" s="181">
        <f t="shared" si="184"/>
        <v>45292</v>
      </c>
      <c r="B563" s="484" t="e">
        <f>MONTH(I560)</f>
        <v>#NUM!</v>
      </c>
      <c r="C563" s="489" t="s">
        <v>158</v>
      </c>
      <c r="D563" s="522" t="e">
        <f>D561+1</f>
        <v>#NUM!</v>
      </c>
      <c r="E563" s="211" t="e">
        <f>DATE(YEAR(E562),MONTH(E562),DAY(E562)+1)</f>
        <v>#NUM!</v>
      </c>
      <c r="F563" s="212" t="e">
        <f t="shared" si="198"/>
        <v>#NUM!</v>
      </c>
      <c r="G563" s="213" t="e">
        <f t="shared" si="199"/>
        <v>#NUM!</v>
      </c>
      <c r="H563" s="212" t="e">
        <f t="shared" si="200"/>
        <v>#NUM!</v>
      </c>
      <c r="I563" s="214" t="str">
        <f>IF(D560&lt;&gt;0,"-1T","")</f>
        <v/>
      </c>
      <c r="J563" s="215" t="e">
        <f>DATE($B565,I564,$B561)</f>
        <v>#NUM!</v>
      </c>
      <c r="K563" s="506" t="str">
        <f t="shared" si="188"/>
        <v/>
      </c>
      <c r="L563" s="470"/>
      <c r="M563" s="473" t="e">
        <f ca="1">SUM(J560-E564)&amp;" Tage"</f>
        <v>#NUM!</v>
      </c>
      <c r="N563" s="216"/>
      <c r="O563" s="217"/>
      <c r="P563" s="188"/>
      <c r="Q563" s="217"/>
      <c r="R563" s="189"/>
      <c r="S563" s="190"/>
      <c r="T563" s="190"/>
      <c r="U563" s="191"/>
      <c r="V563" s="192"/>
      <c r="W563" s="190"/>
      <c r="X563" s="190"/>
      <c r="Y563" s="191"/>
      <c r="Z563" s="192"/>
      <c r="AA563" s="190"/>
      <c r="AB563" s="190"/>
      <c r="AC563" s="191"/>
      <c r="AD563" s="192"/>
      <c r="AE563" s="190"/>
      <c r="AF563" s="190"/>
      <c r="AG563" s="191"/>
      <c r="AH563" s="193"/>
      <c r="AI563" s="190"/>
      <c r="AJ563" s="190"/>
      <c r="AK563" s="374"/>
      <c r="AL563" s="348"/>
      <c r="AM563" s="354"/>
      <c r="AN563" s="354"/>
      <c r="AO563" s="354"/>
      <c r="AP563" s="354"/>
      <c r="AQ563" s="350"/>
      <c r="AR563" s="769"/>
      <c r="AS563" s="769"/>
      <c r="AT563" s="769"/>
      <c r="BM563" s="335"/>
    </row>
    <row r="564" spans="1:65" ht="22.25" customHeight="1">
      <c r="A564" s="181">
        <f t="shared" si="184"/>
        <v>45292</v>
      </c>
      <c r="B564" s="485"/>
      <c r="C564" s="490"/>
      <c r="D564" s="521"/>
      <c r="E564" s="218" t="e">
        <f>DATE(YEAR(E563),MONTH(E563)+3,DAY(E563)-1)</f>
        <v>#NUM!</v>
      </c>
      <c r="F564" s="212" t="e">
        <f t="shared" si="198"/>
        <v>#NUM!</v>
      </c>
      <c r="G564" s="213" t="e">
        <f t="shared" si="199"/>
        <v>#NUM!</v>
      </c>
      <c r="H564" s="212" t="e">
        <f t="shared" si="200"/>
        <v>#NUM!</v>
      </c>
      <c r="I564" s="219">
        <f>MAX(I565:I568)</f>
        <v>9</v>
      </c>
      <c r="J564" s="220" t="e">
        <f>DATE(YEAR(J563)+1,MONTH(J563),DAY(J563))</f>
        <v>#NUM!</v>
      </c>
      <c r="K564" s="501" t="str">
        <f t="shared" si="188"/>
        <v>+Inflat.-P</v>
      </c>
      <c r="L564" s="508" t="e">
        <f>IF(M559="Stufe A",IF(AND(L560="Auswahl treffen",D563&gt;=0,D563&lt;=1000),J559,IF(AND(L560="Vermögend und ambulant",D563&gt;8,D563&lt;=1000),130,IF(AND(L560="Vermögend und ambulant",D563&gt;4,D563&lt;=8),158,IF(AND(L560="Vermögend und ambulant",D563&gt;2,D563&lt;=4),192,IF(AND(L560="Vermögend und ambulant",D563&gt;1,D563&lt;=2),208,IF(AND(L560="Vermögend und ambulant",D563&gt;0,D563&lt;=1),298,IF(AND(L560="Vermögend und stationär",D563&gt;8,D563&lt;=1000),78,IF(AND(L560="Vermögend und stationär",D563&gt;4,D563&lt;=8),91,IF(AND(L560="Vermögend und stationär",D563&gt;2,D563&lt;=4),140,IF(AND(L560="Vermögend und stationär",D563&gt;1,D563&lt;=2),158,IF(AND(L560="Vermögend und stationär",D563&gt;0,D563&lt;=1),200,IF(AND(L560="Mittellos und ambulant",D563&gt;8,D563&lt;=1000),105,IF(AND(L560="Mittellos und ambulant",D563&gt;4,D563&lt;=8),122,IF(AND(L560="Mittellos und ambulant",D563&gt;2,D563&lt;=4),151,IF(AND(L560="Mittellos und ambulant",D563&gt;1,D563&lt;=2),170,IF(AND(L560="Mittellos und ambulant",D563&gt;0,D563&lt;=1),208,IF(AND(L560="Mittellos und stationär",D563&gt;8,D563&lt;=1000),62,IF(AND(L560="Mittellos und stationär",D563&gt;4,D563&lt;=8),87,IF(AND(L560="Mittellos und stationär",D563&gt;2,D563&lt;=4),124,IF(AND(L560="Mittellos und stationär",D563&gt;1,D563&lt;=2),129,IF(AND(L560="Mittellos und stationär",D563&gt;0,D563&lt;=1),194,""))))))))))))))))))))),IF(M559="Stufe B",IF(AND(L560="Auswahl treffen",D563&gt;=0,D563&lt;=1000),J559,IF(AND(L560="Vermögend und ambulant",D563&gt;8,D563&lt;=1000),161,IF(AND(L560="Vermögend und ambulant",D563&gt;4,D563&lt;=8),196,IF(AND(L560="Vermögend und ambulant",D563&gt;2,D563&lt;=4),238,IF(AND(L560="Vermögend und ambulant",D563&gt;1,D563&lt;=2),258,IF(AND(L560="Vermögend und ambulant",D563&gt;0,D563&lt;=1),370,IF(AND(L560="Vermögend und stationär",D563&gt;8,D563&lt;=1000),96,IF(AND(L560="Vermögend und stationär",D563&gt;4,D563&lt;=8),113,IF(AND(L560="Vermögend und stationär",D563&gt;2,D563&lt;=4),174,IF(AND(L560="Vermögend und stationär",D563&gt;1,D563&lt;=2),196,IF(AND(L560="Vermögend und stationär",D563&gt;0,D563&lt;=1),249,IF(AND(L560="Mittellos und ambulant",D563&gt;8,D563&lt;=1000),130,IF(AND(L560="Mittellos und ambulant",D563&gt;4,D563&lt;=8),151,IF(AND(L560="Mittellos und ambulant",D563&gt;2,D563&lt;=4),188,IF(AND(L560="Mittellos und ambulant",D563&gt;1,D563&lt;=2),211,IF(AND(L560="Mittellos und ambulant",D563&gt;0,D563&lt;=1),258,IF(AND(L560="Mittellos und stationär",D563&gt;8,D563&lt;=1000),78,IF(AND(L560="Mittellos und stationär",D563&gt;4,D563&lt;=8),107,IF(AND(L560="Mittellos und stationär",D563&gt;2,D563&lt;=4),154,IF(AND(L560="Mittellos und stationär",D563&gt;1,D563&lt;=2),158,IF(AND(L560="Mittellos und stationär",D563&gt;0,D563&lt;=1),241,""))))))))))))))))))))),IF(M559="Stufe C",IF(AND(L560="Auswahl treffen",D563&gt;=0,D563&lt;=1000),J559,IF(AND(L560="Vermögend und ambulant",D563&gt;8,D563&lt;=1000),211,IF(AND(L560="Vermögend und ambulant",D563&gt;4,D563&lt;=8),257,IF(AND(L560="Vermögend und ambulant",D563&gt;2,D563&lt;=4),312,IF(AND(L560="Vermögend und ambulant",D563&gt;1,D563&lt;=2),339,IF(AND(L560="Vermögend und ambulant",D563&gt;0,D563&lt;=1),486,IF(AND(L560="Vermögend und stationär",D563&gt;8,D563&lt;=1000),127,IF(AND(L560="Vermögend und stationär",D563&gt;4,D563&lt;=8),149,IF(AND(L560="Vermögend und stationär",D563&gt;2,D563&lt;=4),229,IF(AND(L560="Vermögend und stationär",D563&gt;1,D563&lt;=2),257,IF(AND(L560="Vermögend und stationär",D563&gt;0,D563&lt;=1),327,IF(AND(L560="Mittellos und ambulant",D563&gt;8,D563&lt;=1000),171,IF(AND(L560="Mittellos und ambulant",D563&gt;4,D563&lt;=8),198,IF(AND(L560="Mittellos und ambulant",D563&gt;2,D563&lt;=4),246,IF(AND(L560="Mittellos und ambulant",D563&gt;1,D563&lt;=2),277,IF(AND(L560="Mittellos und ambulant",D563&gt;0,D563&lt;=1),339,IF(AND(L560="Mittellos und stationär",D563&gt;8,D563&lt;=1000),102,IF(AND(L560="Mittellos und stationär",D563&gt;4,D563&lt;=8),141,IF(AND(L560="Mittellos und stationär",D563&gt;2,D563&lt;=4),202,IF(AND(L560="Mittellos und stationär",D563&gt;1,D563&lt;=2),208,IF(AND(L560="Mittellos und stationär",D563&gt;0,D563&lt;=1),317,""))))))))))))))))))))),"")))*3+(J559*90)</f>
        <v>#NUM!</v>
      </c>
      <c r="M564" s="507" t="str">
        <f>CONCATENATE(K564, K563)</f>
        <v>+Inflat.-P</v>
      </c>
      <c r="N564" s="216"/>
      <c r="O564" s="188" t="s">
        <v>118</v>
      </c>
      <c r="P564" s="188"/>
      <c r="Q564" s="221"/>
      <c r="R564" s="199"/>
      <c r="S564" s="190"/>
      <c r="T564" s="190"/>
      <c r="U564" s="191"/>
      <c r="V564" s="192"/>
      <c r="W564" s="222" t="s">
        <v>118</v>
      </c>
      <c r="X564" s="222" t="s">
        <v>117</v>
      </c>
      <c r="Y564" s="191" t="s">
        <v>26</v>
      </c>
      <c r="Z564" s="192"/>
      <c r="AA564" s="190"/>
      <c r="AB564" s="190"/>
      <c r="AC564" s="191"/>
      <c r="AD564" s="192"/>
      <c r="AE564" s="190"/>
      <c r="AF564" s="190"/>
      <c r="AG564" s="191"/>
      <c r="AH564" s="193"/>
      <c r="AI564" s="190"/>
      <c r="AJ564" s="190"/>
      <c r="AK564" s="374"/>
      <c r="AL564" s="348" t="s">
        <v>149</v>
      </c>
      <c r="AM564" s="354"/>
      <c r="AN564" s="354">
        <f>IF(SUM(O560:O568)=SUM(W560:W568), 0, SUM(O560:O568)-SUM(W560:W568))</f>
        <v>0</v>
      </c>
      <c r="AO564" s="354"/>
      <c r="AP564" s="354"/>
      <c r="AQ564" s="350">
        <f>AM564+AN564+AO564+AP564</f>
        <v>0</v>
      </c>
      <c r="AR564" s="769"/>
      <c r="AS564" s="769"/>
      <c r="AT564" s="769"/>
      <c r="BM564" s="335"/>
    </row>
    <row r="565" spans="1:65" ht="22.25" customHeight="1">
      <c r="A565" s="181">
        <f t="shared" si="184"/>
        <v>45292</v>
      </c>
      <c r="B565" s="484">
        <f>YEAR($A566)-1</f>
        <v>2023</v>
      </c>
      <c r="C565" s="489" t="s">
        <v>158</v>
      </c>
      <c r="D565" s="520" t="e">
        <f>D563+1</f>
        <v>#NUM!</v>
      </c>
      <c r="E565" s="194" t="e">
        <f>DATE(YEAR(E564),MONTH(E564),DAY(E564)+1)</f>
        <v>#NUM!</v>
      </c>
      <c r="F565" s="195" t="e">
        <f t="shared" si="198"/>
        <v>#NUM!</v>
      </c>
      <c r="G565" s="196" t="e">
        <f t="shared" si="199"/>
        <v>#NUM!</v>
      </c>
      <c r="H565" s="195" t="e">
        <f t="shared" si="200"/>
        <v>#NUM!</v>
      </c>
      <c r="I565" s="197">
        <f>IF(J567&lt;13,J567,"")</f>
        <v>9</v>
      </c>
      <c r="J565" s="224">
        <f>G560</f>
        <v>0</v>
      </c>
      <c r="K565" s="501" t="str">
        <f t="shared" si="188"/>
        <v/>
      </c>
      <c r="L565" s="471"/>
      <c r="M565" s="473" t="e">
        <f ca="1">SUM(J560-E566)&amp;" Tage"</f>
        <v>#NUM!</v>
      </c>
      <c r="N565" s="200"/>
      <c r="O565" s="201"/>
      <c r="P565" s="201"/>
      <c r="Q565" s="202"/>
      <c r="R565" s="189"/>
      <c r="S565" s="203"/>
      <c r="T565" s="203"/>
      <c r="U565" s="204"/>
      <c r="V565" s="192"/>
      <c r="W565" s="203"/>
      <c r="X565" s="203"/>
      <c r="Y565" s="204"/>
      <c r="Z565" s="192"/>
      <c r="AA565" s="203"/>
      <c r="AB565" s="203"/>
      <c r="AC565" s="204"/>
      <c r="AD565" s="192"/>
      <c r="AE565" s="203"/>
      <c r="AF565" s="203"/>
      <c r="AG565" s="204"/>
      <c r="AH565" s="193"/>
      <c r="AI565" s="203"/>
      <c r="AJ565" s="203"/>
      <c r="AK565" s="375"/>
      <c r="AL565" s="348"/>
      <c r="AM565" s="354"/>
      <c r="AN565" s="354"/>
      <c r="AO565" s="354"/>
      <c r="AP565" s="354"/>
      <c r="AQ565" s="350"/>
      <c r="AR565" s="769"/>
      <c r="AS565" s="769"/>
      <c r="AT565" s="769"/>
      <c r="BM565" s="335"/>
    </row>
    <row r="566" spans="1:65" ht="22.25" customHeight="1">
      <c r="A566" s="181">
        <f t="shared" si="184"/>
        <v>45292</v>
      </c>
      <c r="B566" s="485"/>
      <c r="C566" s="490"/>
      <c r="D566" s="521"/>
      <c r="E566" s="194" t="e">
        <f>DATE(YEAR(E565),MONTH(E565)+3,DAY(E565)-1)</f>
        <v>#NUM!</v>
      </c>
      <c r="F566" s="195" t="e">
        <f t="shared" si="198"/>
        <v>#NUM!</v>
      </c>
      <c r="G566" s="196" t="e">
        <f t="shared" si="199"/>
        <v>#NUM!</v>
      </c>
      <c r="H566" s="195" t="e">
        <f t="shared" si="200"/>
        <v>#NUM!</v>
      </c>
      <c r="I566" s="244">
        <f>IF(J568&lt;13,J568,"")</f>
        <v>6</v>
      </c>
      <c r="J566" s="224">
        <f>J565+3</f>
        <v>3</v>
      </c>
      <c r="K566" s="506" t="str">
        <f t="shared" si="188"/>
        <v>+Inflat.-P</v>
      </c>
      <c r="L566" s="511" t="e">
        <f>IF(M559="Stufe A",IF(AND(L560="Auswahl treffen",D565&gt;=0,D565&lt;=1000),J559,IF(AND(L560="Vermögend und ambulant",D565&gt;8,D565&lt;=1000),130,IF(AND(L560="Vermögend und ambulant",D565&gt;4,D565&lt;=8),158,IF(AND(L560="Vermögend und ambulant",D565&gt;2,D565&lt;=4),192,IF(AND(L560="Vermögend und ambulant",D565&gt;1,D565&lt;=2),208,IF(AND(L560="Vermögend und ambulant",D565&gt;0,D565&lt;=1),298,IF(AND(L560="Vermögend und stationär",D565&gt;8,D565&lt;=1000),78,IF(AND(L560="Vermögend und stationär",D565&gt;4,D565&lt;=8),91,IF(AND(L560="Vermögend und stationär",D565&gt;2,D565&lt;=4),140,IF(AND(L560="Vermögend und stationär",D565&gt;1,D565&lt;=2),158,IF(AND(L560="Vermögend und stationär",D565&gt;0,D565&lt;=1),200,IF(AND(L560="Mittellos und ambulant",D565&gt;8,D565&lt;=1000),105,IF(AND(L560="Mittellos und ambulant",D565&gt;4,D565&lt;=8),122,IF(AND(L560="Mittellos und ambulant",D565&gt;2,D565&lt;=4),151,IF(AND(L560="Mittellos und ambulant",D565&gt;1,D565&lt;=2),170,IF(AND(L560="Mittellos und ambulant",D565&gt;0,D565&lt;=1),208,IF(AND(L560="Mittellos und stationär",D565&gt;8,D565&lt;=1000),62,IF(AND(L560="Mittellos und stationär",D565&gt;4,D565&lt;=8),87,IF(AND(L560="Mittellos und stationär",D565&gt;2,D565&lt;=4),124,IF(AND(L560="Mittellos und stationär",D565&gt;1,D565&lt;=2),129,IF(AND(L560="Mittellos und stationär",D565&gt;0,D565&lt;=1),194,""))))))))))))))))))))),IF(M559="Stufe B",IF(AND(L560="Auswahl treffen",D565&gt;=0,D565&lt;=1000),J559,IF(AND(L560="Vermögend und ambulant",D565&gt;8,D565&lt;=1000),161,IF(AND(L560="Vermögend und ambulant",D565&gt;4,D565&lt;=8),196,IF(AND(L560="Vermögend und ambulant",D565&gt;2,D565&lt;=4),238,IF(AND(L560="Vermögend und ambulant",D565&gt;1,D565&lt;=2),258,IF(AND(L560="Vermögend und ambulant",D565&gt;0,D565&lt;=1),370,IF(AND(L560="Vermögend und stationär",D565&gt;8,D565&lt;=1000),96,IF(AND(L560="Vermögend und stationär",D565&gt;4,D565&lt;=8),113,IF(AND(L560="Vermögend und stationär",D565&gt;2,D565&lt;=4),174,IF(AND(L560="Vermögend und stationär",D565&gt;1,D565&lt;=2),196,IF(AND(L560="Vermögend und stationär",D565&gt;0,D565&lt;=1),249,IF(AND(L560="Mittellos und ambulant",D565&gt;8,D565&lt;=1000),130,IF(AND(L560="Mittellos und ambulant",D565&gt;4,D565&lt;=8),151,IF(AND(L560="Mittellos und ambulant",D565&gt;2,D565&lt;=4),188,IF(AND(L560="Mittellos und ambulant",D565&gt;1,D565&lt;=2),211,IF(AND(L560="Mittellos und ambulant",D565&gt;0,D565&lt;=1),258,IF(AND(L560="Mittellos und stationär",D565&gt;8,D565&lt;=1000),78,IF(AND(L560="Mittellos und stationär",D565&gt;4,D565&lt;=8),107,IF(AND(L560="Mittellos und stationär",D565&gt;2,D565&lt;=4),154,IF(AND(L560="Mittellos und stationär",D565&gt;1,D565&lt;=2),158,IF(AND(L560="Mittellos und stationär",D565&gt;0,D565&lt;=1),241,""))))))))))))))))))))),IF(M559="Stufe C",IF(AND(L560="Auswahl treffen",D565&gt;=0,D565&lt;=1000),J559,IF(AND(L560="Vermögend und ambulant",D565&gt;8,D565&lt;=1000),211,IF(AND(L560="Vermögend und ambulant",D565&gt;4,D565&lt;=8),257,IF(AND(L560="Vermögend und ambulant",D565&gt;2,D565&lt;=4),312,IF(AND(L560="Vermögend und ambulant",D565&gt;1,D565&lt;=2),339,IF(AND(L560="Vermögend und ambulant",D565&gt;0,D565&lt;=1),486,IF(AND(L560="Vermögend und stationär",D565&gt;8,D565&lt;=1000),127,IF(AND(L560="Vermögend und stationär",D565&gt;4,D565&lt;=8),149,IF(AND(L560="Vermögend und stationär",D565&gt;2,D565&lt;=4),229,IF(AND(L560="Vermögend und stationär",D565&gt;1,D565&lt;=2),257,IF(AND(L560="Vermögend und stationär",D565&gt;0,D565&lt;=1),327,IF(AND(L560="Mittellos und ambulant",D565&gt;8,D565&lt;=1000),171,IF(AND(L560="Mittellos und ambulant",D565&gt;4,D565&lt;=8),198,IF(AND(L560="Mittellos und ambulant",D565&gt;2,D565&lt;=4),246,IF(AND(L560="Mittellos und ambulant",D565&gt;1,D565&lt;=2),277,IF(AND(L560="Mittellos und ambulant",D565&gt;0,D565&lt;=1),339,IF(AND(L560="Mittellos und stationär",D565&gt;8,D565&lt;=1000),102,IF(AND(L560="Mittellos und stationär",D565&gt;4,D565&lt;=8),141,IF(AND(L560="Mittellos und stationär",D565&gt;2,D565&lt;=4),202,IF(AND(L560="Mittellos und stationär",D565&gt;1,D565&lt;=2),208,IF(AND(L560="Mittellos und stationär",D565&gt;0,D565&lt;=1),317,""))))))))))))))))))))),"")))*3+(J559*90)</f>
        <v>#NUM!</v>
      </c>
      <c r="M566" s="507" t="str">
        <f>CONCATENATE(K566, K565)</f>
        <v>+Inflat.-P</v>
      </c>
      <c r="N566" s="206"/>
      <c r="O566" s="207"/>
      <c r="P566" s="206" t="s">
        <v>118</v>
      </c>
      <c r="Q566" s="226"/>
      <c r="R566" s="189"/>
      <c r="S566" s="203"/>
      <c r="T566" s="203"/>
      <c r="U566" s="204"/>
      <c r="V566" s="192"/>
      <c r="W566" s="203"/>
      <c r="X566" s="203"/>
      <c r="Y566" s="204"/>
      <c r="Z566" s="192"/>
      <c r="AA566" s="209" t="s">
        <v>118</v>
      </c>
      <c r="AB566" s="209" t="s">
        <v>117</v>
      </c>
      <c r="AC566" s="204" t="s">
        <v>26</v>
      </c>
      <c r="AD566" s="192"/>
      <c r="AE566" s="203"/>
      <c r="AF566" s="203"/>
      <c r="AG566" s="204"/>
      <c r="AH566" s="193"/>
      <c r="AI566" s="203"/>
      <c r="AJ566" s="203"/>
      <c r="AK566" s="375"/>
      <c r="AL566" s="348" t="s">
        <v>150</v>
      </c>
      <c r="AM566" s="354"/>
      <c r="AN566" s="354"/>
      <c r="AO566" s="354">
        <f>IF(SUM(P560:P568)=SUM(AA560:AA568), 0, SUM(P560:P568)-SUM(AA560:AA568))</f>
        <v>0</v>
      </c>
      <c r="AP566" s="354"/>
      <c r="AQ566" s="350">
        <f>AM566+AN566+AO566+AP566</f>
        <v>0</v>
      </c>
      <c r="AR566" s="769"/>
      <c r="AS566" s="769"/>
      <c r="AT566" s="769"/>
      <c r="BM566" s="335"/>
    </row>
    <row r="567" spans="1:65" ht="22.25" customHeight="1">
      <c r="A567" s="181">
        <f t="shared" si="184"/>
        <v>45292</v>
      </c>
      <c r="B567" s="486"/>
      <c r="C567" s="489" t="s">
        <v>158</v>
      </c>
      <c r="D567" s="522" t="e">
        <f>D565+1</f>
        <v>#NUM!</v>
      </c>
      <c r="E567" s="211" t="e">
        <f>DATE(YEAR(E566),MONTH(E566),DAY(E566)+1)</f>
        <v>#NUM!</v>
      </c>
      <c r="F567" s="227" t="e">
        <f t="shared" si="198"/>
        <v>#NUM!</v>
      </c>
      <c r="G567" s="228" t="e">
        <f t="shared" si="199"/>
        <v>#NUM!</v>
      </c>
      <c r="H567" s="227" t="e">
        <f t="shared" si="200"/>
        <v>#NUM!</v>
      </c>
      <c r="I567" s="231">
        <f>IF(J566&lt;13,J566,"")</f>
        <v>3</v>
      </c>
      <c r="J567" s="230">
        <f>J568+3</f>
        <v>9</v>
      </c>
      <c r="K567" s="501" t="str">
        <f t="shared" si="188"/>
        <v/>
      </c>
      <c r="L567" s="471"/>
      <c r="M567" s="473" t="e">
        <f ca="1">SUM(J560-E568)&amp;" Tage"</f>
        <v>#NUM!</v>
      </c>
      <c r="N567" s="216"/>
      <c r="O567" s="188"/>
      <c r="P567" s="188"/>
      <c r="Q567" s="217"/>
      <c r="R567" s="189"/>
      <c r="S567" s="190"/>
      <c r="T567" s="190"/>
      <c r="U567" s="191"/>
      <c r="V567" s="192"/>
      <c r="W567" s="190"/>
      <c r="X567" s="190"/>
      <c r="Y567" s="191"/>
      <c r="Z567" s="192"/>
      <c r="AA567" s="190"/>
      <c r="AB567" s="190"/>
      <c r="AC567" s="191"/>
      <c r="AD567" s="192"/>
      <c r="AE567" s="190"/>
      <c r="AF567" s="190"/>
      <c r="AG567" s="191"/>
      <c r="AH567" s="193"/>
      <c r="AI567" s="190"/>
      <c r="AJ567" s="190"/>
      <c r="AK567" s="374"/>
      <c r="AL567" s="348"/>
      <c r="AM567" s="354"/>
      <c r="AN567" s="354"/>
      <c r="AO567" s="354"/>
      <c r="AP567" s="354"/>
      <c r="AQ567" s="350"/>
      <c r="AR567" s="769"/>
      <c r="AS567" s="769"/>
      <c r="AT567" s="769"/>
      <c r="BM567" s="335"/>
    </row>
    <row r="568" spans="1:65" ht="22.25" customHeight="1">
      <c r="A568" s="181">
        <f t="shared" si="184"/>
        <v>45292</v>
      </c>
      <c r="B568" s="485"/>
      <c r="C568" s="490"/>
      <c r="D568" s="521"/>
      <c r="E568" s="218" t="e">
        <f>DATE(YEAR(E567),MONTH(E567)+3,DAY(E567)-1)</f>
        <v>#NUM!</v>
      </c>
      <c r="F568" s="227" t="e">
        <f t="shared" si="198"/>
        <v>#NUM!</v>
      </c>
      <c r="G568" s="228" t="e">
        <f t="shared" si="199"/>
        <v>#NUM!</v>
      </c>
      <c r="H568" s="227" t="e">
        <f t="shared" si="200"/>
        <v>#NUM!</v>
      </c>
      <c r="I568" s="231">
        <f>IF(J565&lt;13,J565,"")</f>
        <v>0</v>
      </c>
      <c r="J568" s="230">
        <f>J566+3</f>
        <v>6</v>
      </c>
      <c r="K568" s="506" t="str">
        <f t="shared" si="188"/>
        <v>+Inflat.-P</v>
      </c>
      <c r="L568" s="508" t="e">
        <f>IF(M559="Stufe A",IF(AND(L560="Auswahl treffen",D567&gt;=0,D567&lt;=1000),J559,IF(AND(L560="Vermögend und ambulant",D567&gt;8,D567&lt;=1000),130,IF(AND(L560="Vermögend und ambulant",D567&gt;4,D567&lt;=8),158,IF(AND(L560="Vermögend und ambulant",D567&gt;2,D567&lt;=4),192,IF(AND(L560="Vermögend und ambulant",D567&gt;1,D567&lt;=2),208,IF(AND(L560="Vermögend und ambulant",D567&gt;0,D567&lt;=1),298,IF(AND(L560="Vermögend und stationär",D567&gt;8,D567&lt;=1000),78,IF(AND(L560="Vermögend und stationär",D567&gt;4,D567&lt;=8),91,IF(AND(L560="Vermögend und stationär",D567&gt;2,D567&lt;=4),140,IF(AND(L560="Vermögend und stationär",D567&gt;1,D567&lt;=2),158,IF(AND(L560="Vermögend und stationär",D567&gt;0,D567&lt;=1),200,IF(AND(L560="Mittellos und ambulant",D567&gt;8,D567&lt;=1000),105,IF(AND(L560="Mittellos und ambulant",D567&gt;4,D567&lt;=8),122,IF(AND(L560="Mittellos und ambulant",D567&gt;2,D567&lt;=4),151,IF(AND(L560="Mittellos und ambulant",D567&gt;1,D567&lt;=2),170,IF(AND(L560="Mittellos und ambulant",D567&gt;0,D567&lt;=1),208,IF(AND(L560="Mittellos und stationär",D567&gt;8,D567&lt;=1000),62,IF(AND(L560="Mittellos und stationär",D567&gt;4,D567&lt;=8),87,IF(AND(L560="Mittellos und stationär",D567&gt;2,D567&lt;=4),124,IF(AND(L560="Mittellos und stationär",D567&gt;1,D567&lt;=2),129,IF(AND(L560="Mittellos und stationär",D567&gt;0,D567&lt;=1),194,""))))))))))))))))))))),IF(M559="Stufe B",IF(AND(L560="Auswahl treffen",D567&gt;=0,D567&lt;=1000),J559,IF(AND(L560="Vermögend und ambulant",D567&gt;8,D567&lt;=1000),161,IF(AND(L560="Vermögend und ambulant",D567&gt;4,D567&lt;=8),196,IF(AND(L560="Vermögend und ambulant",D567&gt;2,D567&lt;=4),238,IF(AND(L560="Vermögend und ambulant",D567&gt;1,D567&lt;=2),258,IF(AND(L560="Vermögend und ambulant",D567&gt;0,D567&lt;=1),370,IF(AND(L560="Vermögend und stationär",D567&gt;8,D567&lt;=1000),96,IF(AND(L560="Vermögend und stationär",D567&gt;4,D567&lt;=8),113,IF(AND(L560="Vermögend und stationär",D567&gt;2,D567&lt;=4),174,IF(AND(L560="Vermögend und stationär",D567&gt;1,D567&lt;=2),196,IF(AND(L560="Vermögend und stationär",D567&gt;0,D567&lt;=1),249,IF(AND(L560="Mittellos und ambulant",D567&gt;8,D567&lt;=1000),130,IF(AND(L560="Mittellos und ambulant",D567&gt;4,D567&lt;=8),151,IF(AND(L560="Mittellos und ambulant",D567&gt;2,D567&lt;=4),188,IF(AND(L560="Mittellos und ambulant",D567&gt;1,D567&lt;=2),211,IF(AND(L560="Mittellos und ambulant",D567&gt;0,D567&lt;=1),258,IF(AND(L560="Mittellos und stationär",D567&gt;8,D567&lt;=1000),78,IF(AND(L560="Mittellos und stationär",D567&gt;4,D567&lt;=8),107,IF(AND(L560="Mittellos und stationär",D567&gt;2,D567&lt;=4),154,IF(AND(L560="Mittellos und stationär",D567&gt;1,D567&lt;=2),158,IF(AND(L560="Mittellos und stationär",D567&gt;0,D567&lt;=1),241,""))))))))))))))))))))),IF(M559="Stufe C",IF(AND(L560="Auswahl treffen",D567&gt;=0,D567&lt;=1000),J559,IF(AND(L560="Vermögend und ambulant",D567&gt;8,D567&lt;=1000),211,IF(AND(L560="Vermögend und ambulant",D567&gt;4,D567&lt;=8),257,IF(AND(L560="Vermögend und ambulant",D567&gt;2,D567&lt;=4),312,IF(AND(L560="Vermögend und ambulant",D567&gt;1,D567&lt;=2),339,IF(AND(L560="Vermögend und ambulant",D567&gt;0,D567&lt;=1),486,IF(AND(L560="Vermögend und stationär",D567&gt;8,D567&lt;=1000),127,IF(AND(L560="Vermögend und stationär",D567&gt;4,D567&lt;=8),149,IF(AND(L560="Vermögend und stationär",D567&gt;2,D567&lt;=4),229,IF(AND(L560="Vermögend und stationär",D567&gt;1,D567&lt;=2),257,IF(AND(L560="Vermögend und stationär",D567&gt;0,D567&lt;=1),327,IF(AND(L560="Mittellos und ambulant",D567&gt;8,D567&lt;=1000),171,IF(AND(L560="Mittellos und ambulant",D567&gt;4,D567&lt;=8),198,IF(AND(L560="Mittellos und ambulant",D567&gt;2,D567&lt;=4),246,IF(AND(L560="Mittellos und ambulant",D567&gt;1,D567&lt;=2),277,IF(AND(L560="Mittellos und ambulant",D567&gt;0,D567&lt;=1),339,IF(AND(L560="Mittellos und stationär",D567&gt;8,D567&lt;=1000),102,IF(AND(L560="Mittellos und stationär",D567&gt;4,D567&lt;=8),141,IF(AND(L560="Mittellos und stationär",D567&gt;2,D567&lt;=4),202,IF(AND(L560="Mittellos und stationär",D567&gt;1,D567&lt;=2),208,IF(AND(L560="Mittellos und stationär",D567&gt;0,D567&lt;=1),317,""))))))))))))))))))))),"")))*3+(J559*90)</f>
        <v>#NUM!</v>
      </c>
      <c r="M568" s="507" t="str">
        <f>CONCATENATE(K568, K567)</f>
        <v>+Inflat.-P</v>
      </c>
      <c r="N568" s="216"/>
      <c r="O568" s="188"/>
      <c r="P568" s="188"/>
      <c r="Q568" s="217" t="s">
        <v>118</v>
      </c>
      <c r="R568" s="189"/>
      <c r="S568" s="190"/>
      <c r="T568" s="190"/>
      <c r="U568" s="191"/>
      <c r="V568" s="192"/>
      <c r="W568" s="190"/>
      <c r="X568" s="190"/>
      <c r="Y568" s="191"/>
      <c r="Z568" s="192"/>
      <c r="AA568" s="190"/>
      <c r="AB568" s="190"/>
      <c r="AC568" s="191"/>
      <c r="AD568" s="192"/>
      <c r="AE568" s="190" t="s">
        <v>118</v>
      </c>
      <c r="AF568" s="190" t="s">
        <v>117</v>
      </c>
      <c r="AG568" s="191" t="s">
        <v>26</v>
      </c>
      <c r="AH568" s="193"/>
      <c r="AI568" s="190" t="s">
        <v>118</v>
      </c>
      <c r="AJ568" s="190" t="s">
        <v>117</v>
      </c>
      <c r="AK568" s="374" t="s">
        <v>26</v>
      </c>
      <c r="AL568" s="348" t="s">
        <v>151</v>
      </c>
      <c r="AM568" s="354"/>
      <c r="AN568" s="354"/>
      <c r="AO568" s="354"/>
      <c r="AP568" s="354">
        <f>IF(SUM(Q560:Q568)=SUM(AE560:AE568,AI560:AI568), 0, SUM(Q560:Q568)-SUM(AE560:AE568,AI560:AI568))</f>
        <v>0</v>
      </c>
      <c r="AQ568" s="350">
        <f>AM568+AN568+AO568+AP568</f>
        <v>0</v>
      </c>
      <c r="AR568" s="769"/>
      <c r="AS568" s="769"/>
      <c r="AT568" s="769"/>
      <c r="BM568" s="335"/>
    </row>
    <row r="569" spans="1:65" ht="22" customHeight="1">
      <c r="A569" s="181">
        <f t="shared" si="184"/>
        <v>45292</v>
      </c>
      <c r="B569" s="232" t="s">
        <v>74</v>
      </c>
      <c r="C569" s="233" t="s">
        <v>75</v>
      </c>
      <c r="D569" s="234" t="s">
        <v>76</v>
      </c>
      <c r="E569" s="235" t="s">
        <v>11</v>
      </c>
      <c r="F569" s="235" t="s">
        <v>4</v>
      </c>
      <c r="G569" s="235" t="s">
        <v>5</v>
      </c>
      <c r="H569" s="235" t="s">
        <v>6</v>
      </c>
      <c r="I569" s="236" t="s">
        <v>77</v>
      </c>
      <c r="J569" s="306"/>
      <c r="K569" s="501" t="str">
        <f t="shared" si="188"/>
        <v/>
      </c>
      <c r="L569" s="306" t="str">
        <f>IFERROR(VLOOKUP(B570,'Aktuelle Einnahmen'!A2:J104,10,0),"")</f>
        <v/>
      </c>
      <c r="M569" s="510" t="str">
        <f>M559</f>
        <v>Stufe C</v>
      </c>
      <c r="N569" s="237"/>
      <c r="O569" s="238"/>
      <c r="P569" s="238"/>
      <c r="Q569" s="239"/>
      <c r="R569" s="240"/>
      <c r="S569" s="241"/>
      <c r="T569" s="241"/>
      <c r="U569" s="242"/>
      <c r="V569" s="243"/>
      <c r="W569" s="241"/>
      <c r="X569" s="241"/>
      <c r="Y569" s="242"/>
      <c r="Z569" s="243"/>
      <c r="AA569" s="241"/>
      <c r="AB569" s="241"/>
      <c r="AC569" s="242"/>
      <c r="AD569" s="243"/>
      <c r="AE569" s="241"/>
      <c r="AF569" s="241"/>
      <c r="AG569" s="242"/>
      <c r="AH569" s="240"/>
      <c r="AI569" s="241"/>
      <c r="AJ569" s="241"/>
      <c r="AK569" s="377"/>
      <c r="AL569" s="347"/>
      <c r="AM569" s="353"/>
      <c r="AN569" s="353"/>
      <c r="AO569" s="353"/>
      <c r="AP569" s="353"/>
      <c r="AQ569" s="349"/>
      <c r="AR569" s="768"/>
      <c r="AS569" s="768"/>
      <c r="AT569" s="768"/>
      <c r="BM569" s="335"/>
    </row>
    <row r="570" spans="1:65" ht="23" customHeight="1">
      <c r="A570" s="181">
        <f t="shared" si="184"/>
        <v>45292</v>
      </c>
      <c r="B570" s="182">
        <v>57</v>
      </c>
      <c r="C570" s="245">
        <f>IFERROR(VLOOKUP($B570,'Aktuelle Einnahmen'!A2:G104,3,0),"")</f>
        <v>0</v>
      </c>
      <c r="D570" s="246">
        <f>IFERROR(VLOOKUP($B570,'Aktuelle Einnahmen'!A2:G104,2,0),"")</f>
        <v>0</v>
      </c>
      <c r="E570" s="247">
        <f>IFERROR(VLOOKUP($B570,'Aktuelle Einnahmen'!A2:G104,4,0),"")</f>
        <v>0</v>
      </c>
      <c r="F570" s="94">
        <f>IFERROR(VLOOKUP($B570,'Aktuelle Einnahmen'!A2:G104,5,0),"")</f>
        <v>0</v>
      </c>
      <c r="G570" s="94">
        <f>IFERROR(VLOOKUP($B570,'Aktuelle Einnahmen'!A2:G104,6,0),"")</f>
        <v>0</v>
      </c>
      <c r="H570" s="94">
        <f>IFERROR(VLOOKUP($B570,'Aktuelle Einnahmen'!A2:G104,7,0),"")</f>
        <v>0</v>
      </c>
      <c r="I570" s="186" t="e">
        <f>DATE(H570,G570,F570)</f>
        <v>#NUM!</v>
      </c>
      <c r="J570" s="472">
        <f ca="1">J560</f>
        <v>45475</v>
      </c>
      <c r="K570" s="506" t="str">
        <f t="shared" si="188"/>
        <v>+Inflat.-P</v>
      </c>
      <c r="L570" s="1262" t="str">
        <f>IFERROR(VLOOKUP(B570,'Aktuelle Einnahmen'!A22:I124,9,0),"")</f>
        <v>Auswahl treffen</v>
      </c>
      <c r="M570" s="1263"/>
      <c r="N570" s="261"/>
      <c r="O570" s="261"/>
      <c r="P570" s="261"/>
      <c r="Q570" s="261"/>
      <c r="R570" s="189"/>
      <c r="S570" s="190"/>
      <c r="T570" s="190"/>
      <c r="U570" s="191"/>
      <c r="V570" s="192"/>
      <c r="W570" s="190"/>
      <c r="X570" s="190"/>
      <c r="Y570" s="191"/>
      <c r="Z570" s="192"/>
      <c r="AA570" s="190"/>
      <c r="AB570" s="190"/>
      <c r="AC570" s="191"/>
      <c r="AD570" s="192"/>
      <c r="AE570" s="190"/>
      <c r="AF570" s="190"/>
      <c r="AG570" s="191"/>
      <c r="AH570" s="193"/>
      <c r="AI570" s="190"/>
      <c r="AJ570" s="190"/>
      <c r="AK570" s="374"/>
      <c r="AL570" s="348"/>
      <c r="AM570" s="354"/>
      <c r="AN570" s="354"/>
      <c r="AO570" s="354"/>
      <c r="AP570" s="354"/>
      <c r="AQ570" s="350"/>
      <c r="AR570" s="769"/>
      <c r="AS570" s="769"/>
      <c r="AT570" s="769"/>
      <c r="BM570" s="335"/>
    </row>
    <row r="571" spans="1:65" ht="22.25" customHeight="1">
      <c r="A571" s="181">
        <f t="shared" si="184"/>
        <v>45292</v>
      </c>
      <c r="B571" s="484" t="e">
        <f>DAY(I570)</f>
        <v>#NUM!</v>
      </c>
      <c r="C571" s="489" t="s">
        <v>158</v>
      </c>
      <c r="D571" s="520" t="e">
        <f>(I571*4)+J571/3+1</f>
        <v>#NUM!</v>
      </c>
      <c r="E571" s="194" t="e">
        <f>J573+1</f>
        <v>#NUM!</v>
      </c>
      <c r="F571" s="195" t="e">
        <f t="shared" ref="F571:F578" si="201">DAY(E571)</f>
        <v>#NUM!</v>
      </c>
      <c r="G571" s="196" t="e">
        <f t="shared" ref="G571:G578" si="202">MONTH(E571)</f>
        <v>#NUM!</v>
      </c>
      <c r="H571" s="195" t="e">
        <f t="shared" ref="H571:H578" si="203">YEAR(E571)</f>
        <v>#NUM!</v>
      </c>
      <c r="I571" s="197" t="e">
        <f>H571-(H570+2000)</f>
        <v>#NUM!</v>
      </c>
      <c r="J571" s="198" t="e">
        <f>G571-G570</f>
        <v>#NUM!</v>
      </c>
      <c r="K571" s="506" t="str">
        <f>L569</f>
        <v/>
      </c>
      <c r="L571" s="469"/>
      <c r="M571" s="473" t="e">
        <f ca="1">SUM(J570-E572)&amp;" Tage"</f>
        <v>#NUM!</v>
      </c>
      <c r="N571" s="206"/>
      <c r="O571" s="201"/>
      <c r="P571" s="201"/>
      <c r="Q571" s="202"/>
      <c r="R571" s="189"/>
      <c r="S571" s="203"/>
      <c r="T571" s="203"/>
      <c r="U571" s="204"/>
      <c r="V571" s="192"/>
      <c r="W571" s="203"/>
      <c r="X571" s="203"/>
      <c r="Y571" s="204"/>
      <c r="Z571" s="192"/>
      <c r="AA571" s="203"/>
      <c r="AB571" s="203"/>
      <c r="AC571" s="204"/>
      <c r="AD571" s="192"/>
      <c r="AE571" s="203"/>
      <c r="AF571" s="203"/>
      <c r="AG571" s="204"/>
      <c r="AH571" s="193"/>
      <c r="AI571" s="203"/>
      <c r="AJ571" s="203"/>
      <c r="AK571" s="375"/>
      <c r="AL571" s="348"/>
      <c r="AM571" s="354"/>
      <c r="AN571" s="354"/>
      <c r="AO571" s="354"/>
      <c r="AP571" s="354"/>
      <c r="AQ571" s="350"/>
      <c r="AR571" s="769"/>
      <c r="AS571" s="769"/>
      <c r="AT571" s="769"/>
      <c r="BM571" s="335"/>
    </row>
    <row r="572" spans="1:65" ht="22.25" customHeight="1">
      <c r="A572" s="181">
        <f t="shared" si="184"/>
        <v>45292</v>
      </c>
      <c r="B572" s="485"/>
      <c r="C572" s="490"/>
      <c r="D572" s="521"/>
      <c r="E572" s="194" t="e">
        <f>DATE(YEAR(E571),MONTH(E571)+3,DAY(E571)-1)</f>
        <v>#NUM!</v>
      </c>
      <c r="F572" s="195" t="e">
        <f t="shared" si="201"/>
        <v>#NUM!</v>
      </c>
      <c r="G572" s="196" t="e">
        <f t="shared" si="202"/>
        <v>#NUM!</v>
      </c>
      <c r="H572" s="195" t="e">
        <f t="shared" si="203"/>
        <v>#NUM!</v>
      </c>
      <c r="I572" s="244">
        <v>-1</v>
      </c>
      <c r="J572" s="198" t="e">
        <f>F571-F570</f>
        <v>#NUM!</v>
      </c>
      <c r="K572" s="501" t="str">
        <f t="shared" si="188"/>
        <v>+Inflat.-P</v>
      </c>
      <c r="L572" s="511" t="e">
        <f>IF(M569="Stufe A",IF(AND(L570="Auswahl treffen",D571&gt;=0,D571&lt;=1000),J569,IF(AND(L570="Vermögend und ambulant",D571&gt;8,D571&lt;=1000),130,IF(AND(L570="Vermögend und ambulant",D571&gt;4,D571&lt;=8),158,IF(AND(L570="Vermögend und ambulant",D571&gt;2,D571&lt;=4),192,IF(AND(L570="Vermögend und ambulant",D571&gt;1,D571&lt;=2),208,IF(AND(L570="Vermögend und ambulant",D571&gt;0,D571&lt;=1),298,IF(AND(L570="Vermögend und stationär",D571&gt;8,D571&lt;=1000),78,IF(AND(L570="Vermögend und stationär",D571&gt;4,D571&lt;=8),91,IF(AND(L570="Vermögend und stationär",D571&gt;2,D571&lt;=4),140,IF(AND(L570="Vermögend und stationär",D571&gt;1,D571&lt;=2),158,IF(AND(L570="Vermögend und stationär",D571&gt;0,D571&lt;=1),200,IF(AND(L570="Mittellos und ambulant",D571&gt;8,D571&lt;=1000),105,IF(AND(L570="Mittellos und ambulant",D571&gt;4,D571&lt;=8),122,IF(AND(L570="Mittellos und ambulant",D571&gt;2,D571&lt;=4),151,IF(AND(L570="Mittellos und ambulant",D571&gt;1,D571&lt;=2),170,IF(AND(L570="Mittellos und ambulant",D571&gt;0,D571&lt;=1),208,IF(AND(L570="Mittellos und stationär",D571&gt;8,D571&lt;=1000),62,IF(AND(L570="Mittellos und stationär",D571&gt;4,D571&lt;=8),87,IF(AND(L570="Mittellos und stationär",D571&gt;2,D571&lt;=4),124,IF(AND(L570="Mittellos und stationär",D571&gt;1,D571&lt;=2),129,IF(AND(L570="Mittellos und stationär",D571&gt;0,D571&lt;=1),194,""))))))))))))))))))))),IF(M569="Stufe B",IF(AND(L570="Auswahl treffen",D571&gt;=0,D571&lt;=1000),J569,IF(AND(L570="Vermögend und ambulant",D571&gt;8,D571&lt;=1000),161,IF(AND(L570="Vermögend und ambulant",D571&gt;4,D571&lt;=8),196,IF(AND(L570="Vermögend und ambulant",D571&gt;2,D571&lt;=4),238,IF(AND(L570="Vermögend und ambulant",D571&gt;1,D571&lt;=2),258,IF(AND(L570="Vermögend und ambulant",D571&gt;0,D571&lt;=1),370,IF(AND(L570="Vermögend und stationär",D571&gt;8,D571&lt;=1000),96,IF(AND(L570="Vermögend und stationär",D571&gt;4,D571&lt;=8),113,IF(AND(L570="Vermögend und stationär",D571&gt;2,D571&lt;=4),174,IF(AND(L570="Vermögend und stationär",D571&gt;1,D571&lt;=2),196,IF(AND(L570="Vermögend und stationär",D571&gt;0,D571&lt;=1),249,IF(AND(L570="Mittellos und ambulant",D571&gt;8,D571&lt;=1000),130,IF(AND(L570="Mittellos und ambulant",D571&gt;4,D571&lt;=8),151,IF(AND(L570="Mittellos und ambulant",D571&gt;2,D571&lt;=4),188,IF(AND(L570="Mittellos und ambulant",D571&gt;1,D571&lt;=2),211,IF(AND(L570="Mittellos und ambulant",D571&gt;0,D571&lt;=1),258,IF(AND(L570="Mittellos und stationär",D571&gt;8,D571&lt;=1000),78,IF(AND(L570="Mittellos und stationär",D571&gt;4,D571&lt;=8),107,IF(AND(L570="Mittellos und stationär",D571&gt;2,D571&lt;=4),154,IF(AND(L570="Mittellos und stationär",D571&gt;1,D571&lt;=2),158,IF(AND(L570="Mittellos und stationär",D571&gt;0,D571&lt;=1),241,""))))))))))))))))))))),IF(M569="Stufe C",IF(AND(L570="Auswahl treffen",D571&gt;=0,D571&lt;=1000),J569,IF(AND(L570="Vermögend und ambulant",D571&gt;8,D571&lt;=1000),211,IF(AND(L570="Vermögend und ambulant",D571&gt;4,D571&lt;=8),257,IF(AND(L570="Vermögend und ambulant",D571&gt;2,D571&lt;=4),312,IF(AND(L570="Vermögend und ambulant",D571&gt;1,D571&lt;=2),339,IF(AND(L570="Vermögend und ambulant",D571&gt;0,D571&lt;=1),486,IF(AND(L570="Vermögend und stationär",D571&gt;8,D571&lt;=1000),127,IF(AND(L570="Vermögend und stationär",D571&gt;4,D571&lt;=8),149,IF(AND(L570="Vermögend und stationär",D571&gt;2,D571&lt;=4),229,IF(AND(L570="Vermögend und stationär",D571&gt;1,D571&lt;=2),257,IF(AND(L570="Vermögend und stationär",D571&gt;0,D571&lt;=1),327,IF(AND(L570="Mittellos und ambulant",D571&gt;8,D571&lt;=1000),171,IF(AND(L570="Mittellos und ambulant",D571&gt;4,D571&lt;=8),198,IF(AND(L570="Mittellos und ambulant",D571&gt;2,D571&lt;=4),246,IF(AND(L570="Mittellos und ambulant",D571&gt;1,D571&lt;=2),277,IF(AND(L570="Mittellos und ambulant",D571&gt;0,D571&lt;=1),339,IF(AND(L570="Mittellos und stationär",D571&gt;8,D571&lt;=1000),102,IF(AND(L570="Mittellos und stationär",D571&gt;4,D571&lt;=8),141,IF(AND(L570="Mittellos und stationär",D571&gt;2,D571&lt;=4),202,IF(AND(L570="Mittellos und stationär",D571&gt;1,D571&lt;=2),208,IF(AND(L570="Mittellos und stationär",D571&gt;0,D571&lt;=1),317,""))))))))))))))))))))),"")))*3+(J569*90)</f>
        <v>#NUM!</v>
      </c>
      <c r="M572" s="507" t="str">
        <f>CONCATENATE(K572, K571)</f>
        <v>+Inflat.-P</v>
      </c>
      <c r="N572" s="206" t="s">
        <v>118</v>
      </c>
      <c r="O572" s="207"/>
      <c r="P572" s="207"/>
      <c r="Q572" s="208"/>
      <c r="R572" s="187"/>
      <c r="S572" s="209" t="s">
        <v>118</v>
      </c>
      <c r="T572" s="201" t="s">
        <v>117</v>
      </c>
      <c r="U572" s="210" t="s">
        <v>26</v>
      </c>
      <c r="V572" s="192"/>
      <c r="W572" s="203"/>
      <c r="X572" s="203"/>
      <c r="Y572" s="210"/>
      <c r="Z572" s="192"/>
      <c r="AA572" s="203"/>
      <c r="AB572" s="203"/>
      <c r="AC572" s="210"/>
      <c r="AD572" s="192"/>
      <c r="AE572" s="203"/>
      <c r="AF572" s="203"/>
      <c r="AG572" s="210"/>
      <c r="AH572" s="193"/>
      <c r="AI572" s="203"/>
      <c r="AJ572" s="203"/>
      <c r="AK572" s="376"/>
      <c r="AL572" s="348" t="s">
        <v>148</v>
      </c>
      <c r="AM572" s="354">
        <f>IF(SUM(N570:N578)=SUM(S570:S578), 0, SUM(N570:N578)-SUM(S570:S578))</f>
        <v>0</v>
      </c>
      <c r="AN572" s="354"/>
      <c r="AO572" s="354"/>
      <c r="AP572" s="354"/>
      <c r="AQ572" s="350">
        <f>AM572+AN572+AO572+AP572</f>
        <v>0</v>
      </c>
      <c r="AR572" s="769"/>
      <c r="AS572" s="769"/>
      <c r="AT572" s="769"/>
      <c r="BM572" s="335"/>
    </row>
    <row r="573" spans="1:65" ht="22.25" customHeight="1">
      <c r="A573" s="181">
        <f t="shared" si="184"/>
        <v>45292</v>
      </c>
      <c r="B573" s="484" t="e">
        <f>MONTH(I570)</f>
        <v>#NUM!</v>
      </c>
      <c r="C573" s="489" t="s">
        <v>158</v>
      </c>
      <c r="D573" s="522" t="e">
        <f>D571+1</f>
        <v>#NUM!</v>
      </c>
      <c r="E573" s="211" t="e">
        <f>DATE(YEAR(E572),MONTH(E572),DAY(E572)+1)</f>
        <v>#NUM!</v>
      </c>
      <c r="F573" s="212" t="e">
        <f t="shared" si="201"/>
        <v>#NUM!</v>
      </c>
      <c r="G573" s="213" t="e">
        <f t="shared" si="202"/>
        <v>#NUM!</v>
      </c>
      <c r="H573" s="212" t="e">
        <f t="shared" si="203"/>
        <v>#NUM!</v>
      </c>
      <c r="I573" s="214" t="str">
        <f>IF(D570&lt;&gt;0,"-1T","")</f>
        <v/>
      </c>
      <c r="J573" s="215" t="e">
        <f>DATE($B575,I574,$B571)</f>
        <v>#NUM!</v>
      </c>
      <c r="K573" s="506" t="str">
        <f t="shared" si="188"/>
        <v/>
      </c>
      <c r="L573" s="470"/>
      <c r="M573" s="473" t="e">
        <f ca="1">SUM(J570-E574)&amp;" Tage"</f>
        <v>#NUM!</v>
      </c>
      <c r="N573" s="216"/>
      <c r="O573" s="217"/>
      <c r="P573" s="188"/>
      <c r="Q573" s="217"/>
      <c r="R573" s="189"/>
      <c r="S573" s="190"/>
      <c r="T573" s="190"/>
      <c r="U573" s="191"/>
      <c r="V573" s="192"/>
      <c r="W573" s="190"/>
      <c r="X573" s="190"/>
      <c r="Y573" s="191"/>
      <c r="Z573" s="192"/>
      <c r="AA573" s="190"/>
      <c r="AB573" s="190"/>
      <c r="AC573" s="191"/>
      <c r="AD573" s="192"/>
      <c r="AE573" s="190"/>
      <c r="AF573" s="190"/>
      <c r="AG573" s="191"/>
      <c r="AH573" s="193"/>
      <c r="AI573" s="190"/>
      <c r="AJ573" s="190"/>
      <c r="AK573" s="374"/>
      <c r="AL573" s="348"/>
      <c r="AM573" s="354"/>
      <c r="AN573" s="354"/>
      <c r="AO573" s="354"/>
      <c r="AP573" s="354"/>
      <c r="AQ573" s="350"/>
      <c r="AR573" s="769"/>
      <c r="AS573" s="769"/>
      <c r="AT573" s="769"/>
      <c r="BM573" s="335"/>
    </row>
    <row r="574" spans="1:65" ht="22.25" customHeight="1">
      <c r="A574" s="181">
        <f t="shared" si="184"/>
        <v>45292</v>
      </c>
      <c r="B574" s="485"/>
      <c r="C574" s="490"/>
      <c r="D574" s="521"/>
      <c r="E574" s="218" t="e">
        <f>DATE(YEAR(E573),MONTH(E573)+3,DAY(E573)-1)</f>
        <v>#NUM!</v>
      </c>
      <c r="F574" s="212" t="e">
        <f t="shared" si="201"/>
        <v>#NUM!</v>
      </c>
      <c r="G574" s="213" t="e">
        <f t="shared" si="202"/>
        <v>#NUM!</v>
      </c>
      <c r="H574" s="212" t="e">
        <f t="shared" si="203"/>
        <v>#NUM!</v>
      </c>
      <c r="I574" s="219">
        <f>MAX(I575:I578)</f>
        <v>9</v>
      </c>
      <c r="J574" s="220" t="e">
        <f>DATE(YEAR(J573)+1,MONTH(J573),DAY(J573))</f>
        <v>#NUM!</v>
      </c>
      <c r="K574" s="501" t="str">
        <f t="shared" si="188"/>
        <v>+Inflat.-P</v>
      </c>
      <c r="L574" s="508" t="e">
        <f>IF(M569="Stufe A",IF(AND(L570="Auswahl treffen",D573&gt;=0,D573&lt;=1000),J569,IF(AND(L570="Vermögend und ambulant",D573&gt;8,D573&lt;=1000),130,IF(AND(L570="Vermögend und ambulant",D573&gt;4,D573&lt;=8),158,IF(AND(L570="Vermögend und ambulant",D573&gt;2,D573&lt;=4),192,IF(AND(L570="Vermögend und ambulant",D573&gt;1,D573&lt;=2),208,IF(AND(L570="Vermögend und ambulant",D573&gt;0,D573&lt;=1),298,IF(AND(L570="Vermögend und stationär",D573&gt;8,D573&lt;=1000),78,IF(AND(L570="Vermögend und stationär",D573&gt;4,D573&lt;=8),91,IF(AND(L570="Vermögend und stationär",D573&gt;2,D573&lt;=4),140,IF(AND(L570="Vermögend und stationär",D573&gt;1,D573&lt;=2),158,IF(AND(L570="Vermögend und stationär",D573&gt;0,D573&lt;=1),200,IF(AND(L570="Mittellos und ambulant",D573&gt;8,D573&lt;=1000),105,IF(AND(L570="Mittellos und ambulant",D573&gt;4,D573&lt;=8),122,IF(AND(L570="Mittellos und ambulant",D573&gt;2,D573&lt;=4),151,IF(AND(L570="Mittellos und ambulant",D573&gt;1,D573&lt;=2),170,IF(AND(L570="Mittellos und ambulant",D573&gt;0,D573&lt;=1),208,IF(AND(L570="Mittellos und stationär",D573&gt;8,D573&lt;=1000),62,IF(AND(L570="Mittellos und stationär",D573&gt;4,D573&lt;=8),87,IF(AND(L570="Mittellos und stationär",D573&gt;2,D573&lt;=4),124,IF(AND(L570="Mittellos und stationär",D573&gt;1,D573&lt;=2),129,IF(AND(L570="Mittellos und stationär",D573&gt;0,D573&lt;=1),194,""))))))))))))))))))))),IF(M569="Stufe B",IF(AND(L570="Auswahl treffen",D573&gt;=0,D573&lt;=1000),J569,IF(AND(L570="Vermögend und ambulant",D573&gt;8,D573&lt;=1000),161,IF(AND(L570="Vermögend und ambulant",D573&gt;4,D573&lt;=8),196,IF(AND(L570="Vermögend und ambulant",D573&gt;2,D573&lt;=4),238,IF(AND(L570="Vermögend und ambulant",D573&gt;1,D573&lt;=2),258,IF(AND(L570="Vermögend und ambulant",D573&gt;0,D573&lt;=1),370,IF(AND(L570="Vermögend und stationär",D573&gt;8,D573&lt;=1000),96,IF(AND(L570="Vermögend und stationär",D573&gt;4,D573&lt;=8),113,IF(AND(L570="Vermögend und stationär",D573&gt;2,D573&lt;=4),174,IF(AND(L570="Vermögend und stationär",D573&gt;1,D573&lt;=2),196,IF(AND(L570="Vermögend und stationär",D573&gt;0,D573&lt;=1),249,IF(AND(L570="Mittellos und ambulant",D573&gt;8,D573&lt;=1000),130,IF(AND(L570="Mittellos und ambulant",D573&gt;4,D573&lt;=8),151,IF(AND(L570="Mittellos und ambulant",D573&gt;2,D573&lt;=4),188,IF(AND(L570="Mittellos und ambulant",D573&gt;1,D573&lt;=2),211,IF(AND(L570="Mittellos und ambulant",D573&gt;0,D573&lt;=1),258,IF(AND(L570="Mittellos und stationär",D573&gt;8,D573&lt;=1000),78,IF(AND(L570="Mittellos und stationär",D573&gt;4,D573&lt;=8),107,IF(AND(L570="Mittellos und stationär",D573&gt;2,D573&lt;=4),154,IF(AND(L570="Mittellos und stationär",D573&gt;1,D573&lt;=2),158,IF(AND(L570="Mittellos und stationär",D573&gt;0,D573&lt;=1),241,""))))))))))))))))))))),IF(M569="Stufe C",IF(AND(L570="Auswahl treffen",D573&gt;=0,D573&lt;=1000),J569,IF(AND(L570="Vermögend und ambulant",D573&gt;8,D573&lt;=1000),211,IF(AND(L570="Vermögend und ambulant",D573&gt;4,D573&lt;=8),257,IF(AND(L570="Vermögend und ambulant",D573&gt;2,D573&lt;=4),312,IF(AND(L570="Vermögend und ambulant",D573&gt;1,D573&lt;=2),339,IF(AND(L570="Vermögend und ambulant",D573&gt;0,D573&lt;=1),486,IF(AND(L570="Vermögend und stationär",D573&gt;8,D573&lt;=1000),127,IF(AND(L570="Vermögend und stationär",D573&gt;4,D573&lt;=8),149,IF(AND(L570="Vermögend und stationär",D573&gt;2,D573&lt;=4),229,IF(AND(L570="Vermögend und stationär",D573&gt;1,D573&lt;=2),257,IF(AND(L570="Vermögend und stationär",D573&gt;0,D573&lt;=1),327,IF(AND(L570="Mittellos und ambulant",D573&gt;8,D573&lt;=1000),171,IF(AND(L570="Mittellos und ambulant",D573&gt;4,D573&lt;=8),198,IF(AND(L570="Mittellos und ambulant",D573&gt;2,D573&lt;=4),246,IF(AND(L570="Mittellos und ambulant",D573&gt;1,D573&lt;=2),277,IF(AND(L570="Mittellos und ambulant",D573&gt;0,D573&lt;=1),339,IF(AND(L570="Mittellos und stationär",D573&gt;8,D573&lt;=1000),102,IF(AND(L570="Mittellos und stationär",D573&gt;4,D573&lt;=8),141,IF(AND(L570="Mittellos und stationär",D573&gt;2,D573&lt;=4),202,IF(AND(L570="Mittellos und stationär",D573&gt;1,D573&lt;=2),208,IF(AND(L570="Mittellos und stationär",D573&gt;0,D573&lt;=1),317,""))))))))))))))))))))),"")))*3+(J569*90)</f>
        <v>#NUM!</v>
      </c>
      <c r="M574" s="507" t="str">
        <f>CONCATENATE(K574, K573)</f>
        <v>+Inflat.-P</v>
      </c>
      <c r="N574" s="216"/>
      <c r="O574" s="188" t="s">
        <v>118</v>
      </c>
      <c r="P574" s="188"/>
      <c r="Q574" s="221"/>
      <c r="R574" s="199"/>
      <c r="S574" s="190"/>
      <c r="T574" s="190"/>
      <c r="U574" s="191"/>
      <c r="V574" s="192"/>
      <c r="W574" s="222" t="s">
        <v>118</v>
      </c>
      <c r="X574" s="222" t="s">
        <v>117</v>
      </c>
      <c r="Y574" s="191" t="s">
        <v>26</v>
      </c>
      <c r="Z574" s="192"/>
      <c r="AA574" s="190"/>
      <c r="AB574" s="190"/>
      <c r="AC574" s="191"/>
      <c r="AD574" s="192"/>
      <c r="AE574" s="190"/>
      <c r="AF574" s="190"/>
      <c r="AG574" s="191"/>
      <c r="AH574" s="193"/>
      <c r="AI574" s="190"/>
      <c r="AJ574" s="190"/>
      <c r="AK574" s="374"/>
      <c r="AL574" s="348" t="s">
        <v>149</v>
      </c>
      <c r="AM574" s="354"/>
      <c r="AN574" s="354">
        <f>IF(SUM(O570:O578)=SUM(W570:W578), 0, SUM(O570:O578)-SUM(W570:W578))</f>
        <v>0</v>
      </c>
      <c r="AO574" s="354"/>
      <c r="AP574" s="354"/>
      <c r="AQ574" s="350">
        <f>AM574+AN574+AO574+AP574</f>
        <v>0</v>
      </c>
      <c r="AR574" s="769"/>
      <c r="AS574" s="769"/>
      <c r="AT574" s="769"/>
      <c r="BM574" s="335"/>
    </row>
    <row r="575" spans="1:65" ht="22.25" customHeight="1">
      <c r="A575" s="181">
        <f t="shared" si="184"/>
        <v>45292</v>
      </c>
      <c r="B575" s="484">
        <f>YEAR($A576)-1</f>
        <v>2023</v>
      </c>
      <c r="C575" s="489" t="s">
        <v>158</v>
      </c>
      <c r="D575" s="520" t="e">
        <f>D573+1</f>
        <v>#NUM!</v>
      </c>
      <c r="E575" s="194" t="e">
        <f>DATE(YEAR(E574),MONTH(E574),DAY(E574)+1)</f>
        <v>#NUM!</v>
      </c>
      <c r="F575" s="195" t="e">
        <f t="shared" si="201"/>
        <v>#NUM!</v>
      </c>
      <c r="G575" s="196" t="e">
        <f t="shared" si="202"/>
        <v>#NUM!</v>
      </c>
      <c r="H575" s="195" t="e">
        <f t="shared" si="203"/>
        <v>#NUM!</v>
      </c>
      <c r="I575" s="197">
        <f>IF(J577&lt;13,J577,"")</f>
        <v>9</v>
      </c>
      <c r="J575" s="224">
        <f>G570</f>
        <v>0</v>
      </c>
      <c r="K575" s="506" t="str">
        <f t="shared" si="188"/>
        <v/>
      </c>
      <c r="L575" s="471"/>
      <c r="M575" s="473" t="e">
        <f ca="1">SUM(J570-E576)&amp;" Tage"</f>
        <v>#NUM!</v>
      </c>
      <c r="N575" s="200"/>
      <c r="O575" s="201"/>
      <c r="P575" s="201"/>
      <c r="Q575" s="202"/>
      <c r="R575" s="189"/>
      <c r="S575" s="203"/>
      <c r="T575" s="203"/>
      <c r="U575" s="204"/>
      <c r="V575" s="192"/>
      <c r="W575" s="203"/>
      <c r="X575" s="203"/>
      <c r="Y575" s="204"/>
      <c r="Z575" s="192"/>
      <c r="AA575" s="203"/>
      <c r="AB575" s="203"/>
      <c r="AC575" s="204"/>
      <c r="AD575" s="192"/>
      <c r="AE575" s="203"/>
      <c r="AF575" s="203"/>
      <c r="AG575" s="204"/>
      <c r="AH575" s="193"/>
      <c r="AI575" s="203"/>
      <c r="AJ575" s="203"/>
      <c r="AK575" s="375"/>
      <c r="AL575" s="348"/>
      <c r="AM575" s="354"/>
      <c r="AN575" s="354"/>
      <c r="AO575" s="354"/>
      <c r="AP575" s="354"/>
      <c r="AQ575" s="350"/>
      <c r="AR575" s="769"/>
      <c r="AS575" s="769"/>
      <c r="AT575" s="769"/>
      <c r="BM575" s="335"/>
    </row>
    <row r="576" spans="1:65" ht="22.25" customHeight="1">
      <c r="A576" s="181">
        <f t="shared" si="184"/>
        <v>45292</v>
      </c>
      <c r="B576" s="485"/>
      <c r="C576" s="490"/>
      <c r="D576" s="521"/>
      <c r="E576" s="194" t="e">
        <f>DATE(YEAR(E575),MONTH(E575)+3,DAY(E575)-1)</f>
        <v>#NUM!</v>
      </c>
      <c r="F576" s="195" t="e">
        <f t="shared" si="201"/>
        <v>#NUM!</v>
      </c>
      <c r="G576" s="196" t="e">
        <f t="shared" si="202"/>
        <v>#NUM!</v>
      </c>
      <c r="H576" s="195" t="e">
        <f t="shared" si="203"/>
        <v>#NUM!</v>
      </c>
      <c r="I576" s="244">
        <f>IF(J578&lt;13,J578,"")</f>
        <v>6</v>
      </c>
      <c r="J576" s="224">
        <f>J575+3</f>
        <v>3</v>
      </c>
      <c r="K576" s="501" t="str">
        <f t="shared" si="188"/>
        <v>+Inflat.-P</v>
      </c>
      <c r="L576" s="511" t="e">
        <f>IF(M569="Stufe A",IF(AND(L570="Auswahl treffen",D575&gt;=0,D575&lt;=1000),J569,IF(AND(L570="Vermögend und ambulant",D575&gt;8,D575&lt;=1000),130,IF(AND(L570="Vermögend und ambulant",D575&gt;4,D575&lt;=8),158,IF(AND(L570="Vermögend und ambulant",D575&gt;2,D575&lt;=4),192,IF(AND(L570="Vermögend und ambulant",D575&gt;1,D575&lt;=2),208,IF(AND(L570="Vermögend und ambulant",D575&gt;0,D575&lt;=1),298,IF(AND(L570="Vermögend und stationär",D575&gt;8,D575&lt;=1000),78,IF(AND(L570="Vermögend und stationär",D575&gt;4,D575&lt;=8),91,IF(AND(L570="Vermögend und stationär",D575&gt;2,D575&lt;=4),140,IF(AND(L570="Vermögend und stationär",D575&gt;1,D575&lt;=2),158,IF(AND(L570="Vermögend und stationär",D575&gt;0,D575&lt;=1),200,IF(AND(L570="Mittellos und ambulant",D575&gt;8,D575&lt;=1000),105,IF(AND(L570="Mittellos und ambulant",D575&gt;4,D575&lt;=8),122,IF(AND(L570="Mittellos und ambulant",D575&gt;2,D575&lt;=4),151,IF(AND(L570="Mittellos und ambulant",D575&gt;1,D575&lt;=2),170,IF(AND(L570="Mittellos und ambulant",D575&gt;0,D575&lt;=1),208,IF(AND(L570="Mittellos und stationär",D575&gt;8,D575&lt;=1000),62,IF(AND(L570="Mittellos und stationär",D575&gt;4,D575&lt;=8),87,IF(AND(L570="Mittellos und stationär",D575&gt;2,D575&lt;=4),124,IF(AND(L570="Mittellos und stationär",D575&gt;1,D575&lt;=2),129,IF(AND(L570="Mittellos und stationär",D575&gt;0,D575&lt;=1),194,""))))))))))))))))))))),IF(M569="Stufe B",IF(AND(L570="Auswahl treffen",D575&gt;=0,D575&lt;=1000),J569,IF(AND(L570="Vermögend und ambulant",D575&gt;8,D575&lt;=1000),161,IF(AND(L570="Vermögend und ambulant",D575&gt;4,D575&lt;=8),196,IF(AND(L570="Vermögend und ambulant",D575&gt;2,D575&lt;=4),238,IF(AND(L570="Vermögend und ambulant",D575&gt;1,D575&lt;=2),258,IF(AND(L570="Vermögend und ambulant",D575&gt;0,D575&lt;=1),370,IF(AND(L570="Vermögend und stationär",D575&gt;8,D575&lt;=1000),96,IF(AND(L570="Vermögend und stationär",D575&gt;4,D575&lt;=8),113,IF(AND(L570="Vermögend und stationär",D575&gt;2,D575&lt;=4),174,IF(AND(L570="Vermögend und stationär",D575&gt;1,D575&lt;=2),196,IF(AND(L570="Vermögend und stationär",D575&gt;0,D575&lt;=1),249,IF(AND(L570="Mittellos und ambulant",D575&gt;8,D575&lt;=1000),130,IF(AND(L570="Mittellos und ambulant",D575&gt;4,D575&lt;=8),151,IF(AND(L570="Mittellos und ambulant",D575&gt;2,D575&lt;=4),188,IF(AND(L570="Mittellos und ambulant",D575&gt;1,D575&lt;=2),211,IF(AND(L570="Mittellos und ambulant",D575&gt;0,D575&lt;=1),258,IF(AND(L570="Mittellos und stationär",D575&gt;8,D575&lt;=1000),78,IF(AND(L570="Mittellos und stationär",D575&gt;4,D575&lt;=8),107,IF(AND(L570="Mittellos und stationär",D575&gt;2,D575&lt;=4),154,IF(AND(L570="Mittellos und stationär",D575&gt;1,D575&lt;=2),158,IF(AND(L570="Mittellos und stationär",D575&gt;0,D575&lt;=1),241,""))))))))))))))))))))),IF(M569="Stufe C",IF(AND(L570="Auswahl treffen",D575&gt;=0,D575&lt;=1000),J569,IF(AND(L570="Vermögend und ambulant",D575&gt;8,D575&lt;=1000),211,IF(AND(L570="Vermögend und ambulant",D575&gt;4,D575&lt;=8),257,IF(AND(L570="Vermögend und ambulant",D575&gt;2,D575&lt;=4),312,IF(AND(L570="Vermögend und ambulant",D575&gt;1,D575&lt;=2),339,IF(AND(L570="Vermögend und ambulant",D575&gt;0,D575&lt;=1),486,IF(AND(L570="Vermögend und stationär",D575&gt;8,D575&lt;=1000),127,IF(AND(L570="Vermögend und stationär",D575&gt;4,D575&lt;=8),149,IF(AND(L570="Vermögend und stationär",D575&gt;2,D575&lt;=4),229,IF(AND(L570="Vermögend und stationär",D575&gt;1,D575&lt;=2),257,IF(AND(L570="Vermögend und stationär",D575&gt;0,D575&lt;=1),327,IF(AND(L570="Mittellos und ambulant",D575&gt;8,D575&lt;=1000),171,IF(AND(L570="Mittellos und ambulant",D575&gt;4,D575&lt;=8),198,IF(AND(L570="Mittellos und ambulant",D575&gt;2,D575&lt;=4),246,IF(AND(L570="Mittellos und ambulant",D575&gt;1,D575&lt;=2),277,IF(AND(L570="Mittellos und ambulant",D575&gt;0,D575&lt;=1),339,IF(AND(L570="Mittellos und stationär",D575&gt;8,D575&lt;=1000),102,IF(AND(L570="Mittellos und stationär",D575&gt;4,D575&lt;=8),141,IF(AND(L570="Mittellos und stationär",D575&gt;2,D575&lt;=4),202,IF(AND(L570="Mittellos und stationär",D575&gt;1,D575&lt;=2),208,IF(AND(L570="Mittellos und stationär",D575&gt;0,D575&lt;=1),317,""))))))))))))))))))))),"")))*3+(J569*90)</f>
        <v>#NUM!</v>
      </c>
      <c r="M576" s="507" t="str">
        <f>CONCATENATE(K576, K575)</f>
        <v>+Inflat.-P</v>
      </c>
      <c r="N576" s="206"/>
      <c r="O576" s="207"/>
      <c r="P576" s="206" t="s">
        <v>118</v>
      </c>
      <c r="Q576" s="226"/>
      <c r="R576" s="189"/>
      <c r="S576" s="203"/>
      <c r="T576" s="203"/>
      <c r="U576" s="204"/>
      <c r="V576" s="192"/>
      <c r="W576" s="203"/>
      <c r="X576" s="203"/>
      <c r="Y576" s="204"/>
      <c r="Z576" s="192"/>
      <c r="AA576" s="209" t="s">
        <v>118</v>
      </c>
      <c r="AB576" s="209" t="s">
        <v>117</v>
      </c>
      <c r="AC576" s="204" t="s">
        <v>26</v>
      </c>
      <c r="AD576" s="192"/>
      <c r="AE576" s="203"/>
      <c r="AF576" s="203"/>
      <c r="AG576" s="204"/>
      <c r="AH576" s="193"/>
      <c r="AI576" s="203"/>
      <c r="AJ576" s="203"/>
      <c r="AK576" s="375"/>
      <c r="AL576" s="348" t="s">
        <v>150</v>
      </c>
      <c r="AM576" s="354"/>
      <c r="AN576" s="354"/>
      <c r="AO576" s="354">
        <f>IF(SUM(P570:P578)=SUM(AA570:AA578), 0, SUM(P570:P578)-SUM(AA570:AA578))</f>
        <v>0</v>
      </c>
      <c r="AP576" s="354"/>
      <c r="AQ576" s="350">
        <f>AM576+AN576+AO576+AP576</f>
        <v>0</v>
      </c>
      <c r="AR576" s="769"/>
      <c r="AS576" s="769"/>
      <c r="AT576" s="769"/>
      <c r="BM576" s="335"/>
    </row>
    <row r="577" spans="1:65" ht="22.25" customHeight="1">
      <c r="A577" s="181">
        <f t="shared" si="184"/>
        <v>45292</v>
      </c>
      <c r="B577" s="486"/>
      <c r="C577" s="489" t="s">
        <v>158</v>
      </c>
      <c r="D577" s="522" t="e">
        <f>D575+1</f>
        <v>#NUM!</v>
      </c>
      <c r="E577" s="211" t="e">
        <f>DATE(YEAR(E576),MONTH(E576),DAY(E576)+1)</f>
        <v>#NUM!</v>
      </c>
      <c r="F577" s="227" t="e">
        <f t="shared" si="201"/>
        <v>#NUM!</v>
      </c>
      <c r="G577" s="228" t="e">
        <f t="shared" si="202"/>
        <v>#NUM!</v>
      </c>
      <c r="H577" s="227" t="e">
        <f t="shared" si="203"/>
        <v>#NUM!</v>
      </c>
      <c r="I577" s="231">
        <f>IF(J576&lt;13,J576,"")</f>
        <v>3</v>
      </c>
      <c r="J577" s="230">
        <f>J578+3</f>
        <v>9</v>
      </c>
      <c r="K577" s="506" t="str">
        <f t="shared" si="188"/>
        <v/>
      </c>
      <c r="L577" s="471"/>
      <c r="M577" s="473" t="e">
        <f ca="1">SUM(J570-E578)&amp;" Tage"</f>
        <v>#NUM!</v>
      </c>
      <c r="N577" s="216"/>
      <c r="O577" s="188"/>
      <c r="P577" s="188"/>
      <c r="Q577" s="217"/>
      <c r="R577" s="189"/>
      <c r="S577" s="190"/>
      <c r="T577" s="190"/>
      <c r="U577" s="191"/>
      <c r="V577" s="192"/>
      <c r="W577" s="190"/>
      <c r="X577" s="190"/>
      <c r="Y577" s="191"/>
      <c r="Z577" s="192"/>
      <c r="AA577" s="190"/>
      <c r="AB577" s="190"/>
      <c r="AC577" s="191"/>
      <c r="AD577" s="192"/>
      <c r="AE577" s="190"/>
      <c r="AF577" s="190"/>
      <c r="AG577" s="191"/>
      <c r="AH577" s="193"/>
      <c r="AI577" s="190"/>
      <c r="AJ577" s="190"/>
      <c r="AK577" s="374"/>
      <c r="AL577" s="348"/>
      <c r="AM577" s="354"/>
      <c r="AN577" s="354"/>
      <c r="AO577" s="354"/>
      <c r="AP577" s="354"/>
      <c r="AQ577" s="350"/>
      <c r="AR577" s="769"/>
      <c r="AS577" s="769"/>
      <c r="AT577" s="769"/>
      <c r="BM577" s="335"/>
    </row>
    <row r="578" spans="1:65" ht="22.25" customHeight="1">
      <c r="A578" s="181">
        <f t="shared" si="184"/>
        <v>45292</v>
      </c>
      <c r="B578" s="485"/>
      <c r="C578" s="490"/>
      <c r="D578" s="521"/>
      <c r="E578" s="218" t="e">
        <f>DATE(YEAR(E577),MONTH(E577)+3,DAY(E577)-1)</f>
        <v>#NUM!</v>
      </c>
      <c r="F578" s="227" t="e">
        <f t="shared" si="201"/>
        <v>#NUM!</v>
      </c>
      <c r="G578" s="228" t="e">
        <f t="shared" si="202"/>
        <v>#NUM!</v>
      </c>
      <c r="H578" s="227" t="e">
        <f t="shared" si="203"/>
        <v>#NUM!</v>
      </c>
      <c r="I578" s="231">
        <f>IF(J575&lt;13,J575,"")</f>
        <v>0</v>
      </c>
      <c r="J578" s="230">
        <f>J576+3</f>
        <v>6</v>
      </c>
      <c r="K578" s="501" t="str">
        <f t="shared" si="188"/>
        <v>+Inflat.-P</v>
      </c>
      <c r="L578" s="508" t="e">
        <f>IF(M569="Stufe A",IF(AND(L570="Auswahl treffen",D577&gt;=0,D577&lt;=1000),J569,IF(AND(L570="Vermögend und ambulant",D577&gt;8,D577&lt;=1000),130,IF(AND(L570="Vermögend und ambulant",D577&gt;4,D577&lt;=8),158,IF(AND(L570="Vermögend und ambulant",D577&gt;2,D577&lt;=4),192,IF(AND(L570="Vermögend und ambulant",D577&gt;1,D577&lt;=2),208,IF(AND(L570="Vermögend und ambulant",D577&gt;0,D577&lt;=1),298,IF(AND(L570="Vermögend und stationär",D577&gt;8,D577&lt;=1000),78,IF(AND(L570="Vermögend und stationär",D577&gt;4,D577&lt;=8),91,IF(AND(L570="Vermögend und stationär",D577&gt;2,D577&lt;=4),140,IF(AND(L570="Vermögend und stationär",D577&gt;1,D577&lt;=2),158,IF(AND(L570="Vermögend und stationär",D577&gt;0,D577&lt;=1),200,IF(AND(L570="Mittellos und ambulant",D577&gt;8,D577&lt;=1000),105,IF(AND(L570="Mittellos und ambulant",D577&gt;4,D577&lt;=8),122,IF(AND(L570="Mittellos und ambulant",D577&gt;2,D577&lt;=4),151,IF(AND(L570="Mittellos und ambulant",D577&gt;1,D577&lt;=2),170,IF(AND(L570="Mittellos und ambulant",D577&gt;0,D577&lt;=1),208,IF(AND(L570="Mittellos und stationär",D577&gt;8,D577&lt;=1000),62,IF(AND(L570="Mittellos und stationär",D577&gt;4,D577&lt;=8),87,IF(AND(L570="Mittellos und stationär",D577&gt;2,D577&lt;=4),124,IF(AND(L570="Mittellos und stationär",D577&gt;1,D577&lt;=2),129,IF(AND(L570="Mittellos und stationär",D577&gt;0,D577&lt;=1),194,""))))))))))))))))))))),IF(M569="Stufe B",IF(AND(L570="Auswahl treffen",D577&gt;=0,D577&lt;=1000),J569,IF(AND(L570="Vermögend und ambulant",D577&gt;8,D577&lt;=1000),161,IF(AND(L570="Vermögend und ambulant",D577&gt;4,D577&lt;=8),196,IF(AND(L570="Vermögend und ambulant",D577&gt;2,D577&lt;=4),238,IF(AND(L570="Vermögend und ambulant",D577&gt;1,D577&lt;=2),258,IF(AND(L570="Vermögend und ambulant",D577&gt;0,D577&lt;=1),370,IF(AND(L570="Vermögend und stationär",D577&gt;8,D577&lt;=1000),96,IF(AND(L570="Vermögend und stationär",D577&gt;4,D577&lt;=8),113,IF(AND(L570="Vermögend und stationär",D577&gt;2,D577&lt;=4),174,IF(AND(L570="Vermögend und stationär",D577&gt;1,D577&lt;=2),196,IF(AND(L570="Vermögend und stationär",D577&gt;0,D577&lt;=1),249,IF(AND(L570="Mittellos und ambulant",D577&gt;8,D577&lt;=1000),130,IF(AND(L570="Mittellos und ambulant",D577&gt;4,D577&lt;=8),151,IF(AND(L570="Mittellos und ambulant",D577&gt;2,D577&lt;=4),188,IF(AND(L570="Mittellos und ambulant",D577&gt;1,D577&lt;=2),211,IF(AND(L570="Mittellos und ambulant",D577&gt;0,D577&lt;=1),258,IF(AND(L570="Mittellos und stationär",D577&gt;8,D577&lt;=1000),78,IF(AND(L570="Mittellos und stationär",D577&gt;4,D577&lt;=8),107,IF(AND(L570="Mittellos und stationär",D577&gt;2,D577&lt;=4),154,IF(AND(L570="Mittellos und stationär",D577&gt;1,D577&lt;=2),158,IF(AND(L570="Mittellos und stationär",D577&gt;0,D577&lt;=1),241,""))))))))))))))))))))),IF(M569="Stufe C",IF(AND(L570="Auswahl treffen",D577&gt;=0,D577&lt;=1000),J569,IF(AND(L570="Vermögend und ambulant",D577&gt;8,D577&lt;=1000),211,IF(AND(L570="Vermögend und ambulant",D577&gt;4,D577&lt;=8),257,IF(AND(L570="Vermögend und ambulant",D577&gt;2,D577&lt;=4),312,IF(AND(L570="Vermögend und ambulant",D577&gt;1,D577&lt;=2),339,IF(AND(L570="Vermögend und ambulant",D577&gt;0,D577&lt;=1),486,IF(AND(L570="Vermögend und stationär",D577&gt;8,D577&lt;=1000),127,IF(AND(L570="Vermögend und stationär",D577&gt;4,D577&lt;=8),149,IF(AND(L570="Vermögend und stationär",D577&gt;2,D577&lt;=4),229,IF(AND(L570="Vermögend und stationär",D577&gt;1,D577&lt;=2),257,IF(AND(L570="Vermögend und stationär",D577&gt;0,D577&lt;=1),327,IF(AND(L570="Mittellos und ambulant",D577&gt;8,D577&lt;=1000),171,IF(AND(L570="Mittellos und ambulant",D577&gt;4,D577&lt;=8),198,IF(AND(L570="Mittellos und ambulant",D577&gt;2,D577&lt;=4),246,IF(AND(L570="Mittellos und ambulant",D577&gt;1,D577&lt;=2),277,IF(AND(L570="Mittellos und ambulant",D577&gt;0,D577&lt;=1),339,IF(AND(L570="Mittellos und stationär",D577&gt;8,D577&lt;=1000),102,IF(AND(L570="Mittellos und stationär",D577&gt;4,D577&lt;=8),141,IF(AND(L570="Mittellos und stationär",D577&gt;2,D577&lt;=4),202,IF(AND(L570="Mittellos und stationär",D577&gt;1,D577&lt;=2),208,IF(AND(L570="Mittellos und stationär",D577&gt;0,D577&lt;=1),317,""))))))))))))))))))))),"")))*3+(J569*90)</f>
        <v>#NUM!</v>
      </c>
      <c r="M578" s="507" t="str">
        <f>CONCATENATE(K578, K577)</f>
        <v>+Inflat.-P</v>
      </c>
      <c r="N578" s="216"/>
      <c r="O578" s="188"/>
      <c r="P578" s="188"/>
      <c r="Q578" s="217" t="s">
        <v>118</v>
      </c>
      <c r="R578" s="189"/>
      <c r="S578" s="190"/>
      <c r="T578" s="190"/>
      <c r="U578" s="191"/>
      <c r="V578" s="192"/>
      <c r="W578" s="190"/>
      <c r="X578" s="190"/>
      <c r="Y578" s="191"/>
      <c r="Z578" s="192"/>
      <c r="AA578" s="190"/>
      <c r="AB578" s="190"/>
      <c r="AC578" s="191"/>
      <c r="AD578" s="192"/>
      <c r="AE578" s="190" t="s">
        <v>118</v>
      </c>
      <c r="AF578" s="190" t="s">
        <v>117</v>
      </c>
      <c r="AG578" s="191" t="s">
        <v>26</v>
      </c>
      <c r="AH578" s="193"/>
      <c r="AI578" s="190" t="s">
        <v>118</v>
      </c>
      <c r="AJ578" s="190" t="s">
        <v>117</v>
      </c>
      <c r="AK578" s="374" t="s">
        <v>26</v>
      </c>
      <c r="AL578" s="348" t="s">
        <v>151</v>
      </c>
      <c r="AM578" s="354"/>
      <c r="AN578" s="354"/>
      <c r="AO578" s="354"/>
      <c r="AP578" s="354">
        <f>IF(SUM(Q570:Q578)=SUM(AE570:AE578,AI570:AI578), 0, SUM(Q570:Q578)-SUM(AE570:AE578,AI570:AI578))</f>
        <v>0</v>
      </c>
      <c r="AQ578" s="350">
        <f>AM578+AN578+AO578+AP578</f>
        <v>0</v>
      </c>
      <c r="AR578" s="769"/>
      <c r="AS578" s="769"/>
      <c r="AT578" s="769"/>
      <c r="BM578" s="335"/>
    </row>
    <row r="579" spans="1:65" ht="22" customHeight="1">
      <c r="A579" s="181">
        <f t="shared" si="184"/>
        <v>45292</v>
      </c>
      <c r="B579" s="232" t="s">
        <v>74</v>
      </c>
      <c r="C579" s="233" t="s">
        <v>75</v>
      </c>
      <c r="D579" s="234" t="s">
        <v>76</v>
      </c>
      <c r="E579" s="235" t="s">
        <v>11</v>
      </c>
      <c r="F579" s="235" t="s">
        <v>4</v>
      </c>
      <c r="G579" s="235" t="s">
        <v>5</v>
      </c>
      <c r="H579" s="235" t="s">
        <v>6</v>
      </c>
      <c r="I579" s="236" t="s">
        <v>77</v>
      </c>
      <c r="J579" s="306"/>
      <c r="K579" s="501" t="str">
        <f t="shared" si="188"/>
        <v/>
      </c>
      <c r="L579" s="306" t="str">
        <f>IFERROR(VLOOKUP(B580,'Aktuelle Einnahmen'!A2:J104,10,0),"")</f>
        <v/>
      </c>
      <c r="M579" s="510" t="str">
        <f>M569</f>
        <v>Stufe C</v>
      </c>
      <c r="N579" s="237"/>
      <c r="O579" s="238"/>
      <c r="P579" s="238"/>
      <c r="Q579" s="239"/>
      <c r="R579" s="240"/>
      <c r="S579" s="241"/>
      <c r="T579" s="241"/>
      <c r="U579" s="242"/>
      <c r="V579" s="243"/>
      <c r="W579" s="241"/>
      <c r="X579" s="241"/>
      <c r="Y579" s="242"/>
      <c r="Z579" s="243"/>
      <c r="AA579" s="241"/>
      <c r="AB579" s="241"/>
      <c r="AC579" s="242"/>
      <c r="AD579" s="243"/>
      <c r="AE579" s="241"/>
      <c r="AF579" s="241"/>
      <c r="AG579" s="242"/>
      <c r="AH579" s="240"/>
      <c r="AI579" s="241"/>
      <c r="AJ579" s="241"/>
      <c r="AK579" s="377"/>
      <c r="AL579" s="347"/>
      <c r="AM579" s="353"/>
      <c r="AN579" s="353"/>
      <c r="AO579" s="353"/>
      <c r="AP579" s="353"/>
      <c r="AQ579" s="349"/>
      <c r="AR579" s="768"/>
      <c r="AS579" s="768"/>
      <c r="AT579" s="768"/>
      <c r="BM579" s="335"/>
    </row>
    <row r="580" spans="1:65" ht="23" customHeight="1">
      <c r="A580" s="181">
        <f t="shared" si="184"/>
        <v>45292</v>
      </c>
      <c r="B580" s="182">
        <v>58</v>
      </c>
      <c r="C580" s="245">
        <f>IFERROR(VLOOKUP($B580,'Aktuelle Einnahmen'!A2:G104,3,0),"")</f>
        <v>0</v>
      </c>
      <c r="D580" s="246">
        <f>IFERROR(VLOOKUP($B580,'Aktuelle Einnahmen'!A2:G104,2,0),"")</f>
        <v>0</v>
      </c>
      <c r="E580" s="247">
        <f>IFERROR(VLOOKUP($B580,'Aktuelle Einnahmen'!A2:G104,4,0),"")</f>
        <v>0</v>
      </c>
      <c r="F580" s="94">
        <f>IFERROR(VLOOKUP($B580,'Aktuelle Einnahmen'!A2:G104,5,0),"")</f>
        <v>0</v>
      </c>
      <c r="G580" s="94">
        <f>IFERROR(VLOOKUP($B580,'Aktuelle Einnahmen'!A2:G104,6,0),"")</f>
        <v>0</v>
      </c>
      <c r="H580" s="94">
        <f>IFERROR(VLOOKUP($B580,'Aktuelle Einnahmen'!A2:G104,7,0),"")</f>
        <v>0</v>
      </c>
      <c r="I580" s="186" t="e">
        <f>DATE(H580,G580,F580)</f>
        <v>#NUM!</v>
      </c>
      <c r="J580" s="472">
        <f ca="1">J570</f>
        <v>45475</v>
      </c>
      <c r="K580" s="506" t="str">
        <f t="shared" si="188"/>
        <v>+Inflat.-P</v>
      </c>
      <c r="L580" s="1262" t="str">
        <f>IFERROR(VLOOKUP(B580,'Aktuelle Einnahmen'!A22:I124,9,0),"")</f>
        <v>Auswahl treffen</v>
      </c>
      <c r="M580" s="1263"/>
      <c r="N580" s="261"/>
      <c r="O580" s="261"/>
      <c r="P580" s="261"/>
      <c r="Q580" s="261"/>
      <c r="R580" s="189"/>
      <c r="S580" s="190"/>
      <c r="T580" s="190"/>
      <c r="U580" s="191"/>
      <c r="V580" s="192"/>
      <c r="W580" s="190"/>
      <c r="X580" s="190"/>
      <c r="Y580" s="191"/>
      <c r="Z580" s="192"/>
      <c r="AA580" s="190"/>
      <c r="AB580" s="190"/>
      <c r="AC580" s="191"/>
      <c r="AD580" s="192"/>
      <c r="AE580" s="190"/>
      <c r="AF580" s="190"/>
      <c r="AG580" s="191"/>
      <c r="AH580" s="193"/>
      <c r="AI580" s="190"/>
      <c r="AJ580" s="190"/>
      <c r="AK580" s="374"/>
      <c r="AL580" s="348"/>
      <c r="AM580" s="354"/>
      <c r="AN580" s="354"/>
      <c r="AO580" s="354"/>
      <c r="AP580" s="354"/>
      <c r="AQ580" s="350"/>
      <c r="AR580" s="769"/>
      <c r="AS580" s="769"/>
      <c r="AT580" s="769"/>
      <c r="BM580" s="335"/>
    </row>
    <row r="581" spans="1:65" ht="22.25" customHeight="1">
      <c r="A581" s="181">
        <f t="shared" si="184"/>
        <v>45292</v>
      </c>
      <c r="B581" s="484" t="e">
        <f>DAY(I580)</f>
        <v>#NUM!</v>
      </c>
      <c r="C581" s="489" t="s">
        <v>158</v>
      </c>
      <c r="D581" s="520" t="e">
        <f>(I581*4)+J581/3+1</f>
        <v>#NUM!</v>
      </c>
      <c r="E581" s="194" t="e">
        <f>J583+1</f>
        <v>#NUM!</v>
      </c>
      <c r="F581" s="195" t="e">
        <f t="shared" ref="F581:F588" si="204">DAY(E581)</f>
        <v>#NUM!</v>
      </c>
      <c r="G581" s="196" t="e">
        <f t="shared" ref="G581:G588" si="205">MONTH(E581)</f>
        <v>#NUM!</v>
      </c>
      <c r="H581" s="195" t="e">
        <f t="shared" ref="H581:H588" si="206">YEAR(E581)</f>
        <v>#NUM!</v>
      </c>
      <c r="I581" s="197" t="e">
        <f>H581-(H580+2000)</f>
        <v>#NUM!</v>
      </c>
      <c r="J581" s="198" t="e">
        <f>G581-G580</f>
        <v>#NUM!</v>
      </c>
      <c r="K581" s="506" t="str">
        <f>L579</f>
        <v/>
      </c>
      <c r="L581" s="469"/>
      <c r="M581" s="473" t="e">
        <f ca="1">SUM(J580-E582)&amp;" Tage"</f>
        <v>#NUM!</v>
      </c>
      <c r="N581" s="206"/>
      <c r="O581" s="201"/>
      <c r="P581" s="201"/>
      <c r="Q581" s="202"/>
      <c r="R581" s="189"/>
      <c r="S581" s="203"/>
      <c r="T581" s="203"/>
      <c r="U581" s="204"/>
      <c r="V581" s="192"/>
      <c r="W581" s="203"/>
      <c r="X581" s="203"/>
      <c r="Y581" s="204"/>
      <c r="Z581" s="192"/>
      <c r="AA581" s="203"/>
      <c r="AB581" s="203"/>
      <c r="AC581" s="204"/>
      <c r="AD581" s="192"/>
      <c r="AE581" s="203"/>
      <c r="AF581" s="203"/>
      <c r="AG581" s="204"/>
      <c r="AH581" s="193"/>
      <c r="AI581" s="203"/>
      <c r="AJ581" s="203"/>
      <c r="AK581" s="375"/>
      <c r="AL581" s="348"/>
      <c r="AM581" s="354"/>
      <c r="AN581" s="354"/>
      <c r="AO581" s="354"/>
      <c r="AP581" s="354"/>
      <c r="AQ581" s="350"/>
      <c r="AR581" s="769"/>
      <c r="AS581" s="769"/>
      <c r="AT581" s="769"/>
      <c r="BM581" s="335"/>
    </row>
    <row r="582" spans="1:65" ht="22.25" customHeight="1">
      <c r="A582" s="181">
        <f t="shared" si="184"/>
        <v>45292</v>
      </c>
      <c r="B582" s="485"/>
      <c r="C582" s="490"/>
      <c r="D582" s="521"/>
      <c r="E582" s="194" t="e">
        <f>DATE(YEAR(E581),MONTH(E581)+3,DAY(E581)-1)</f>
        <v>#NUM!</v>
      </c>
      <c r="F582" s="195" t="e">
        <f t="shared" si="204"/>
        <v>#NUM!</v>
      </c>
      <c r="G582" s="196" t="e">
        <f t="shared" si="205"/>
        <v>#NUM!</v>
      </c>
      <c r="H582" s="195" t="e">
        <f t="shared" si="206"/>
        <v>#NUM!</v>
      </c>
      <c r="I582" s="244">
        <v>-1</v>
      </c>
      <c r="J582" s="198" t="e">
        <f>F581-F580</f>
        <v>#NUM!</v>
      </c>
      <c r="K582" s="506" t="str">
        <f t="shared" si="188"/>
        <v>+Inflat.-P</v>
      </c>
      <c r="L582" s="511" t="e">
        <f>IF(M579="Stufe A",IF(AND(L580="Auswahl treffen",D581&gt;=0,D581&lt;=1000),J579,IF(AND(L580="Vermögend und ambulant",D581&gt;8,D581&lt;=1000),130,IF(AND(L580="Vermögend und ambulant",D581&gt;4,D581&lt;=8),158,IF(AND(L580="Vermögend und ambulant",D581&gt;2,D581&lt;=4),192,IF(AND(L580="Vermögend und ambulant",D581&gt;1,D581&lt;=2),208,IF(AND(L580="Vermögend und ambulant",D581&gt;0,D581&lt;=1),298,IF(AND(L580="Vermögend und stationär",D581&gt;8,D581&lt;=1000),78,IF(AND(L580="Vermögend und stationär",D581&gt;4,D581&lt;=8),91,IF(AND(L580="Vermögend und stationär",D581&gt;2,D581&lt;=4),140,IF(AND(L580="Vermögend und stationär",D581&gt;1,D581&lt;=2),158,IF(AND(L580="Vermögend und stationär",D581&gt;0,D581&lt;=1),200,IF(AND(L580="Mittellos und ambulant",D581&gt;8,D581&lt;=1000),105,IF(AND(L580="Mittellos und ambulant",D581&gt;4,D581&lt;=8),122,IF(AND(L580="Mittellos und ambulant",D581&gt;2,D581&lt;=4),151,IF(AND(L580="Mittellos und ambulant",D581&gt;1,D581&lt;=2),170,IF(AND(L580="Mittellos und ambulant",D581&gt;0,D581&lt;=1),208,IF(AND(L580="Mittellos und stationär",D581&gt;8,D581&lt;=1000),62,IF(AND(L580="Mittellos und stationär",D581&gt;4,D581&lt;=8),87,IF(AND(L580="Mittellos und stationär",D581&gt;2,D581&lt;=4),124,IF(AND(L580="Mittellos und stationär",D581&gt;1,D581&lt;=2),129,IF(AND(L580="Mittellos und stationär",D581&gt;0,D581&lt;=1),194,""))))))))))))))))))))),IF(M579="Stufe B",IF(AND(L580="Auswahl treffen",D581&gt;=0,D581&lt;=1000),J579,IF(AND(L580="Vermögend und ambulant",D581&gt;8,D581&lt;=1000),161,IF(AND(L580="Vermögend und ambulant",D581&gt;4,D581&lt;=8),196,IF(AND(L580="Vermögend und ambulant",D581&gt;2,D581&lt;=4),238,IF(AND(L580="Vermögend und ambulant",D581&gt;1,D581&lt;=2),258,IF(AND(L580="Vermögend und ambulant",D581&gt;0,D581&lt;=1),370,IF(AND(L580="Vermögend und stationär",D581&gt;8,D581&lt;=1000),96,IF(AND(L580="Vermögend und stationär",D581&gt;4,D581&lt;=8),113,IF(AND(L580="Vermögend und stationär",D581&gt;2,D581&lt;=4),174,IF(AND(L580="Vermögend und stationär",D581&gt;1,D581&lt;=2),196,IF(AND(L580="Vermögend und stationär",D581&gt;0,D581&lt;=1),249,IF(AND(L580="Mittellos und ambulant",D581&gt;8,D581&lt;=1000),130,IF(AND(L580="Mittellos und ambulant",D581&gt;4,D581&lt;=8),151,IF(AND(L580="Mittellos und ambulant",D581&gt;2,D581&lt;=4),188,IF(AND(L580="Mittellos und ambulant",D581&gt;1,D581&lt;=2),211,IF(AND(L580="Mittellos und ambulant",D581&gt;0,D581&lt;=1),258,IF(AND(L580="Mittellos und stationär",D581&gt;8,D581&lt;=1000),78,IF(AND(L580="Mittellos und stationär",D581&gt;4,D581&lt;=8),107,IF(AND(L580="Mittellos und stationär",D581&gt;2,D581&lt;=4),154,IF(AND(L580="Mittellos und stationär",D581&gt;1,D581&lt;=2),158,IF(AND(L580="Mittellos und stationär",D581&gt;0,D581&lt;=1),241,""))))))))))))))))))))),IF(M579="Stufe C",IF(AND(L580="Auswahl treffen",D581&gt;=0,D581&lt;=1000),J579,IF(AND(L580="Vermögend und ambulant",D581&gt;8,D581&lt;=1000),211,IF(AND(L580="Vermögend und ambulant",D581&gt;4,D581&lt;=8),257,IF(AND(L580="Vermögend und ambulant",D581&gt;2,D581&lt;=4),312,IF(AND(L580="Vermögend und ambulant",D581&gt;1,D581&lt;=2),339,IF(AND(L580="Vermögend und ambulant",D581&gt;0,D581&lt;=1),486,IF(AND(L580="Vermögend und stationär",D581&gt;8,D581&lt;=1000),127,IF(AND(L580="Vermögend und stationär",D581&gt;4,D581&lt;=8),149,IF(AND(L580="Vermögend und stationär",D581&gt;2,D581&lt;=4),229,IF(AND(L580="Vermögend und stationär",D581&gt;1,D581&lt;=2),257,IF(AND(L580="Vermögend und stationär",D581&gt;0,D581&lt;=1),327,IF(AND(L580="Mittellos und ambulant",D581&gt;8,D581&lt;=1000),171,IF(AND(L580="Mittellos und ambulant",D581&gt;4,D581&lt;=8),198,IF(AND(L580="Mittellos und ambulant",D581&gt;2,D581&lt;=4),246,IF(AND(L580="Mittellos und ambulant",D581&gt;1,D581&lt;=2),277,IF(AND(L580="Mittellos und ambulant",D581&gt;0,D581&lt;=1),339,IF(AND(L580="Mittellos und stationär",D581&gt;8,D581&lt;=1000),102,IF(AND(L580="Mittellos und stationär",D581&gt;4,D581&lt;=8),141,IF(AND(L580="Mittellos und stationär",D581&gt;2,D581&lt;=4),202,IF(AND(L580="Mittellos und stationär",D581&gt;1,D581&lt;=2),208,IF(AND(L580="Mittellos und stationär",D581&gt;0,D581&lt;=1),317,""))))))))))))))))))))),"")))*3+(J579*90)</f>
        <v>#NUM!</v>
      </c>
      <c r="M582" s="507" t="str">
        <f>CONCATENATE(K582, K581)</f>
        <v>+Inflat.-P</v>
      </c>
      <c r="N582" s="206" t="s">
        <v>118</v>
      </c>
      <c r="O582" s="207"/>
      <c r="P582" s="207"/>
      <c r="Q582" s="208"/>
      <c r="R582" s="187"/>
      <c r="S582" s="209" t="s">
        <v>118</v>
      </c>
      <c r="T582" s="201" t="s">
        <v>117</v>
      </c>
      <c r="U582" s="210" t="s">
        <v>26</v>
      </c>
      <c r="V582" s="192"/>
      <c r="W582" s="203"/>
      <c r="X582" s="203"/>
      <c r="Y582" s="210"/>
      <c r="Z582" s="192"/>
      <c r="AA582" s="203"/>
      <c r="AB582" s="203"/>
      <c r="AC582" s="210"/>
      <c r="AD582" s="192"/>
      <c r="AE582" s="203"/>
      <c r="AF582" s="203"/>
      <c r="AG582" s="210"/>
      <c r="AH582" s="193"/>
      <c r="AI582" s="203"/>
      <c r="AJ582" s="203"/>
      <c r="AK582" s="376"/>
      <c r="AL582" s="348" t="s">
        <v>148</v>
      </c>
      <c r="AM582" s="354">
        <f>IF(SUM(N580:N588)=SUM(S580:S588), 0, SUM(N580:N588)-SUM(S580:S588))</f>
        <v>0</v>
      </c>
      <c r="AN582" s="354"/>
      <c r="AO582" s="354"/>
      <c r="AP582" s="354"/>
      <c r="AQ582" s="350">
        <f>AM582+AN582+AO582+AP582</f>
        <v>0</v>
      </c>
      <c r="AR582" s="769"/>
      <c r="AS582" s="769"/>
      <c r="AT582" s="769"/>
      <c r="BM582" s="335"/>
    </row>
    <row r="583" spans="1:65" ht="22.25" customHeight="1">
      <c r="A583" s="181">
        <f t="shared" si="184"/>
        <v>45292</v>
      </c>
      <c r="B583" s="484" t="e">
        <f>MONTH(I580)</f>
        <v>#NUM!</v>
      </c>
      <c r="C583" s="489" t="s">
        <v>158</v>
      </c>
      <c r="D583" s="522" t="e">
        <f>D581+1</f>
        <v>#NUM!</v>
      </c>
      <c r="E583" s="211" t="e">
        <f>DATE(YEAR(E582),MONTH(E582),DAY(E582)+1)</f>
        <v>#NUM!</v>
      </c>
      <c r="F583" s="212" t="e">
        <f t="shared" si="204"/>
        <v>#NUM!</v>
      </c>
      <c r="G583" s="213" t="e">
        <f t="shared" si="205"/>
        <v>#NUM!</v>
      </c>
      <c r="H583" s="212" t="e">
        <f t="shared" si="206"/>
        <v>#NUM!</v>
      </c>
      <c r="I583" s="214" t="str">
        <f>IF(D580&lt;&gt;0,"-1T","")</f>
        <v/>
      </c>
      <c r="J583" s="215" t="e">
        <f>DATE($B585,I584,$B581)</f>
        <v>#NUM!</v>
      </c>
      <c r="K583" s="501" t="str">
        <f t="shared" si="188"/>
        <v/>
      </c>
      <c r="L583" s="470"/>
      <c r="M583" s="473" t="e">
        <f ca="1">SUM(J580-E584)&amp;" Tage"</f>
        <v>#NUM!</v>
      </c>
      <c r="N583" s="216"/>
      <c r="O583" s="217"/>
      <c r="P583" s="188"/>
      <c r="Q583" s="217"/>
      <c r="R583" s="189"/>
      <c r="S583" s="190"/>
      <c r="T583" s="190"/>
      <c r="U583" s="191"/>
      <c r="V583" s="192"/>
      <c r="W583" s="190"/>
      <c r="X583" s="190"/>
      <c r="Y583" s="191"/>
      <c r="Z583" s="192"/>
      <c r="AA583" s="190"/>
      <c r="AB583" s="190"/>
      <c r="AC583" s="191"/>
      <c r="AD583" s="192"/>
      <c r="AE583" s="190"/>
      <c r="AF583" s="190"/>
      <c r="AG583" s="191"/>
      <c r="AH583" s="193"/>
      <c r="AI583" s="190"/>
      <c r="AJ583" s="190"/>
      <c r="AK583" s="374"/>
      <c r="AL583" s="348"/>
      <c r="AM583" s="354"/>
      <c r="AN583" s="354"/>
      <c r="AO583" s="354"/>
      <c r="AP583" s="354"/>
      <c r="AQ583" s="350"/>
      <c r="AR583" s="769"/>
      <c r="AS583" s="769"/>
      <c r="AT583" s="769"/>
      <c r="BM583" s="335"/>
    </row>
    <row r="584" spans="1:65" ht="22.25" customHeight="1">
      <c r="A584" s="181">
        <f t="shared" si="184"/>
        <v>45292</v>
      </c>
      <c r="B584" s="485"/>
      <c r="C584" s="490"/>
      <c r="D584" s="521"/>
      <c r="E584" s="218" t="e">
        <f>DATE(YEAR(E583),MONTH(E583)+3,DAY(E583)-1)</f>
        <v>#NUM!</v>
      </c>
      <c r="F584" s="212" t="e">
        <f t="shared" si="204"/>
        <v>#NUM!</v>
      </c>
      <c r="G584" s="213" t="e">
        <f t="shared" si="205"/>
        <v>#NUM!</v>
      </c>
      <c r="H584" s="212" t="e">
        <f t="shared" si="206"/>
        <v>#NUM!</v>
      </c>
      <c r="I584" s="219">
        <f>MAX(I585:I588)</f>
        <v>9</v>
      </c>
      <c r="J584" s="220" t="e">
        <f>DATE(YEAR(J583)+1,MONTH(J583),DAY(J583))</f>
        <v>#NUM!</v>
      </c>
      <c r="K584" s="506" t="str">
        <f t="shared" si="188"/>
        <v>+Inflat.-P</v>
      </c>
      <c r="L584" s="508" t="e">
        <f>IF(M579="Stufe A",IF(AND(L580="Auswahl treffen",D583&gt;=0,D583&lt;=1000),J579,IF(AND(L580="Vermögend und ambulant",D583&gt;8,D583&lt;=1000),130,IF(AND(L580="Vermögend und ambulant",D583&gt;4,D583&lt;=8),158,IF(AND(L580="Vermögend und ambulant",D583&gt;2,D583&lt;=4),192,IF(AND(L580="Vermögend und ambulant",D583&gt;1,D583&lt;=2),208,IF(AND(L580="Vermögend und ambulant",D583&gt;0,D583&lt;=1),298,IF(AND(L580="Vermögend und stationär",D583&gt;8,D583&lt;=1000),78,IF(AND(L580="Vermögend und stationär",D583&gt;4,D583&lt;=8),91,IF(AND(L580="Vermögend und stationär",D583&gt;2,D583&lt;=4),140,IF(AND(L580="Vermögend und stationär",D583&gt;1,D583&lt;=2),158,IF(AND(L580="Vermögend und stationär",D583&gt;0,D583&lt;=1),200,IF(AND(L580="Mittellos und ambulant",D583&gt;8,D583&lt;=1000),105,IF(AND(L580="Mittellos und ambulant",D583&gt;4,D583&lt;=8),122,IF(AND(L580="Mittellos und ambulant",D583&gt;2,D583&lt;=4),151,IF(AND(L580="Mittellos und ambulant",D583&gt;1,D583&lt;=2),170,IF(AND(L580="Mittellos und ambulant",D583&gt;0,D583&lt;=1),208,IF(AND(L580="Mittellos und stationär",D583&gt;8,D583&lt;=1000),62,IF(AND(L580="Mittellos und stationär",D583&gt;4,D583&lt;=8),87,IF(AND(L580="Mittellos und stationär",D583&gt;2,D583&lt;=4),124,IF(AND(L580="Mittellos und stationär",D583&gt;1,D583&lt;=2),129,IF(AND(L580="Mittellos und stationär",D583&gt;0,D583&lt;=1),194,""))))))))))))))))))))),IF(M579="Stufe B",IF(AND(L580="Auswahl treffen",D583&gt;=0,D583&lt;=1000),J579,IF(AND(L580="Vermögend und ambulant",D583&gt;8,D583&lt;=1000),161,IF(AND(L580="Vermögend und ambulant",D583&gt;4,D583&lt;=8),196,IF(AND(L580="Vermögend und ambulant",D583&gt;2,D583&lt;=4),238,IF(AND(L580="Vermögend und ambulant",D583&gt;1,D583&lt;=2),258,IF(AND(L580="Vermögend und ambulant",D583&gt;0,D583&lt;=1),370,IF(AND(L580="Vermögend und stationär",D583&gt;8,D583&lt;=1000),96,IF(AND(L580="Vermögend und stationär",D583&gt;4,D583&lt;=8),113,IF(AND(L580="Vermögend und stationär",D583&gt;2,D583&lt;=4),174,IF(AND(L580="Vermögend und stationär",D583&gt;1,D583&lt;=2),196,IF(AND(L580="Vermögend und stationär",D583&gt;0,D583&lt;=1),249,IF(AND(L580="Mittellos und ambulant",D583&gt;8,D583&lt;=1000),130,IF(AND(L580="Mittellos und ambulant",D583&gt;4,D583&lt;=8),151,IF(AND(L580="Mittellos und ambulant",D583&gt;2,D583&lt;=4),188,IF(AND(L580="Mittellos und ambulant",D583&gt;1,D583&lt;=2),211,IF(AND(L580="Mittellos und ambulant",D583&gt;0,D583&lt;=1),258,IF(AND(L580="Mittellos und stationär",D583&gt;8,D583&lt;=1000),78,IF(AND(L580="Mittellos und stationär",D583&gt;4,D583&lt;=8),107,IF(AND(L580="Mittellos und stationär",D583&gt;2,D583&lt;=4),154,IF(AND(L580="Mittellos und stationär",D583&gt;1,D583&lt;=2),158,IF(AND(L580="Mittellos und stationär",D583&gt;0,D583&lt;=1),241,""))))))))))))))))))))),IF(M579="Stufe C",IF(AND(L580="Auswahl treffen",D583&gt;=0,D583&lt;=1000),J579,IF(AND(L580="Vermögend und ambulant",D583&gt;8,D583&lt;=1000),211,IF(AND(L580="Vermögend und ambulant",D583&gt;4,D583&lt;=8),257,IF(AND(L580="Vermögend und ambulant",D583&gt;2,D583&lt;=4),312,IF(AND(L580="Vermögend und ambulant",D583&gt;1,D583&lt;=2),339,IF(AND(L580="Vermögend und ambulant",D583&gt;0,D583&lt;=1),486,IF(AND(L580="Vermögend und stationär",D583&gt;8,D583&lt;=1000),127,IF(AND(L580="Vermögend und stationär",D583&gt;4,D583&lt;=8),149,IF(AND(L580="Vermögend und stationär",D583&gt;2,D583&lt;=4),229,IF(AND(L580="Vermögend und stationär",D583&gt;1,D583&lt;=2),257,IF(AND(L580="Vermögend und stationär",D583&gt;0,D583&lt;=1),327,IF(AND(L580="Mittellos und ambulant",D583&gt;8,D583&lt;=1000),171,IF(AND(L580="Mittellos und ambulant",D583&gt;4,D583&lt;=8),198,IF(AND(L580="Mittellos und ambulant",D583&gt;2,D583&lt;=4),246,IF(AND(L580="Mittellos und ambulant",D583&gt;1,D583&lt;=2),277,IF(AND(L580="Mittellos und ambulant",D583&gt;0,D583&lt;=1),339,IF(AND(L580="Mittellos und stationär",D583&gt;8,D583&lt;=1000),102,IF(AND(L580="Mittellos und stationär",D583&gt;4,D583&lt;=8),141,IF(AND(L580="Mittellos und stationär",D583&gt;2,D583&lt;=4),202,IF(AND(L580="Mittellos und stationär",D583&gt;1,D583&lt;=2),208,IF(AND(L580="Mittellos und stationär",D583&gt;0,D583&lt;=1),317,""))))))))))))))))))))),"")))*3+(J579*90)</f>
        <v>#NUM!</v>
      </c>
      <c r="M584" s="507" t="str">
        <f>CONCATENATE(K584, K583)</f>
        <v>+Inflat.-P</v>
      </c>
      <c r="N584" s="216"/>
      <c r="O584" s="188" t="s">
        <v>118</v>
      </c>
      <c r="P584" s="188"/>
      <c r="Q584" s="221"/>
      <c r="R584" s="199"/>
      <c r="S584" s="190"/>
      <c r="T584" s="190"/>
      <c r="U584" s="191"/>
      <c r="V584" s="192"/>
      <c r="W584" s="222" t="s">
        <v>118</v>
      </c>
      <c r="X584" s="222" t="s">
        <v>117</v>
      </c>
      <c r="Y584" s="191" t="s">
        <v>26</v>
      </c>
      <c r="Z584" s="192"/>
      <c r="AA584" s="190"/>
      <c r="AB584" s="190"/>
      <c r="AC584" s="191"/>
      <c r="AD584" s="192"/>
      <c r="AE584" s="190"/>
      <c r="AF584" s="190"/>
      <c r="AG584" s="191"/>
      <c r="AH584" s="193"/>
      <c r="AI584" s="190"/>
      <c r="AJ584" s="190"/>
      <c r="AK584" s="374"/>
      <c r="AL584" s="348" t="s">
        <v>149</v>
      </c>
      <c r="AM584" s="354"/>
      <c r="AN584" s="354">
        <f>IF(SUM(O580:O588)=SUM(W580:W588), 0, SUM(O580:O588)-SUM(W580:W588))</f>
        <v>0</v>
      </c>
      <c r="AO584" s="354"/>
      <c r="AP584" s="354"/>
      <c r="AQ584" s="350">
        <f>AM584+AN584+AO584+AP584</f>
        <v>0</v>
      </c>
      <c r="AR584" s="769"/>
      <c r="AS584" s="769"/>
      <c r="AT584" s="769"/>
      <c r="BM584" s="335"/>
    </row>
    <row r="585" spans="1:65" ht="22.25" customHeight="1">
      <c r="A585" s="181">
        <f t="shared" ref="A585:A648" si="207">$A584</f>
        <v>45292</v>
      </c>
      <c r="B585" s="484">
        <f>YEAR($A586)-1</f>
        <v>2023</v>
      </c>
      <c r="C585" s="489" t="s">
        <v>158</v>
      </c>
      <c r="D585" s="520" t="e">
        <f>D583+1</f>
        <v>#NUM!</v>
      </c>
      <c r="E585" s="194" t="e">
        <f>DATE(YEAR(E584),MONTH(E584),DAY(E584)+1)</f>
        <v>#NUM!</v>
      </c>
      <c r="F585" s="195" t="e">
        <f t="shared" si="204"/>
        <v>#NUM!</v>
      </c>
      <c r="G585" s="196" t="e">
        <f t="shared" si="205"/>
        <v>#NUM!</v>
      </c>
      <c r="H585" s="195" t="e">
        <f t="shared" si="206"/>
        <v>#NUM!</v>
      </c>
      <c r="I585" s="197">
        <f>IF(J587&lt;13,J587,"")</f>
        <v>9</v>
      </c>
      <c r="J585" s="224">
        <f>G580</f>
        <v>0</v>
      </c>
      <c r="K585" s="501" t="str">
        <f t="shared" si="188"/>
        <v/>
      </c>
      <c r="L585" s="471"/>
      <c r="M585" s="473" t="e">
        <f ca="1">SUM(J580-E586)&amp;" Tage"</f>
        <v>#NUM!</v>
      </c>
      <c r="N585" s="200"/>
      <c r="O585" s="201"/>
      <c r="P585" s="201"/>
      <c r="Q585" s="202"/>
      <c r="R585" s="189"/>
      <c r="S585" s="203"/>
      <c r="T585" s="203"/>
      <c r="U585" s="204"/>
      <c r="V585" s="192"/>
      <c r="W585" s="203"/>
      <c r="X585" s="203"/>
      <c r="Y585" s="204"/>
      <c r="Z585" s="192"/>
      <c r="AA585" s="203"/>
      <c r="AB585" s="203"/>
      <c r="AC585" s="204"/>
      <c r="AD585" s="192"/>
      <c r="AE585" s="203"/>
      <c r="AF585" s="203"/>
      <c r="AG585" s="204"/>
      <c r="AH585" s="193"/>
      <c r="AI585" s="203"/>
      <c r="AJ585" s="203"/>
      <c r="AK585" s="375"/>
      <c r="AL585" s="348"/>
      <c r="AM585" s="354"/>
      <c r="AN585" s="354"/>
      <c r="AO585" s="354"/>
      <c r="AP585" s="354"/>
      <c r="AQ585" s="350"/>
      <c r="AR585" s="769"/>
      <c r="AS585" s="769"/>
      <c r="AT585" s="769"/>
      <c r="BM585" s="335"/>
    </row>
    <row r="586" spans="1:65" ht="22.25" customHeight="1">
      <c r="A586" s="181">
        <f t="shared" si="207"/>
        <v>45292</v>
      </c>
      <c r="B586" s="485"/>
      <c r="C586" s="490"/>
      <c r="D586" s="521"/>
      <c r="E586" s="194" t="e">
        <f>DATE(YEAR(E585),MONTH(E585)+3,DAY(E585)-1)</f>
        <v>#NUM!</v>
      </c>
      <c r="F586" s="195" t="e">
        <f t="shared" si="204"/>
        <v>#NUM!</v>
      </c>
      <c r="G586" s="196" t="e">
        <f t="shared" si="205"/>
        <v>#NUM!</v>
      </c>
      <c r="H586" s="195" t="e">
        <f t="shared" si="206"/>
        <v>#NUM!</v>
      </c>
      <c r="I586" s="244">
        <f>IF(J588&lt;13,J588,"")</f>
        <v>6</v>
      </c>
      <c r="J586" s="224">
        <f>J585+3</f>
        <v>3</v>
      </c>
      <c r="K586" s="501" t="str">
        <f t="shared" si="188"/>
        <v>+Inflat.-P</v>
      </c>
      <c r="L586" s="511" t="e">
        <f>IF(M579="Stufe A",IF(AND(L580="Auswahl treffen",D585&gt;=0,D585&lt;=1000),J579,IF(AND(L580="Vermögend und ambulant",D585&gt;8,D585&lt;=1000),130,IF(AND(L580="Vermögend und ambulant",D585&gt;4,D585&lt;=8),158,IF(AND(L580="Vermögend und ambulant",D585&gt;2,D585&lt;=4),192,IF(AND(L580="Vermögend und ambulant",D585&gt;1,D585&lt;=2),208,IF(AND(L580="Vermögend und ambulant",D585&gt;0,D585&lt;=1),298,IF(AND(L580="Vermögend und stationär",D585&gt;8,D585&lt;=1000),78,IF(AND(L580="Vermögend und stationär",D585&gt;4,D585&lt;=8),91,IF(AND(L580="Vermögend und stationär",D585&gt;2,D585&lt;=4),140,IF(AND(L580="Vermögend und stationär",D585&gt;1,D585&lt;=2),158,IF(AND(L580="Vermögend und stationär",D585&gt;0,D585&lt;=1),200,IF(AND(L580="Mittellos und ambulant",D585&gt;8,D585&lt;=1000),105,IF(AND(L580="Mittellos und ambulant",D585&gt;4,D585&lt;=8),122,IF(AND(L580="Mittellos und ambulant",D585&gt;2,D585&lt;=4),151,IF(AND(L580="Mittellos und ambulant",D585&gt;1,D585&lt;=2),170,IF(AND(L580="Mittellos und ambulant",D585&gt;0,D585&lt;=1),208,IF(AND(L580="Mittellos und stationär",D585&gt;8,D585&lt;=1000),62,IF(AND(L580="Mittellos und stationär",D585&gt;4,D585&lt;=8),87,IF(AND(L580="Mittellos und stationär",D585&gt;2,D585&lt;=4),124,IF(AND(L580="Mittellos und stationär",D585&gt;1,D585&lt;=2),129,IF(AND(L580="Mittellos und stationär",D585&gt;0,D585&lt;=1),194,""))))))))))))))))))))),IF(M579="Stufe B",IF(AND(L580="Auswahl treffen",D585&gt;=0,D585&lt;=1000),J579,IF(AND(L580="Vermögend und ambulant",D585&gt;8,D585&lt;=1000),161,IF(AND(L580="Vermögend und ambulant",D585&gt;4,D585&lt;=8),196,IF(AND(L580="Vermögend und ambulant",D585&gt;2,D585&lt;=4),238,IF(AND(L580="Vermögend und ambulant",D585&gt;1,D585&lt;=2),258,IF(AND(L580="Vermögend und ambulant",D585&gt;0,D585&lt;=1),370,IF(AND(L580="Vermögend und stationär",D585&gt;8,D585&lt;=1000),96,IF(AND(L580="Vermögend und stationär",D585&gt;4,D585&lt;=8),113,IF(AND(L580="Vermögend und stationär",D585&gt;2,D585&lt;=4),174,IF(AND(L580="Vermögend und stationär",D585&gt;1,D585&lt;=2),196,IF(AND(L580="Vermögend und stationär",D585&gt;0,D585&lt;=1),249,IF(AND(L580="Mittellos und ambulant",D585&gt;8,D585&lt;=1000),130,IF(AND(L580="Mittellos und ambulant",D585&gt;4,D585&lt;=8),151,IF(AND(L580="Mittellos und ambulant",D585&gt;2,D585&lt;=4),188,IF(AND(L580="Mittellos und ambulant",D585&gt;1,D585&lt;=2),211,IF(AND(L580="Mittellos und ambulant",D585&gt;0,D585&lt;=1),258,IF(AND(L580="Mittellos und stationär",D585&gt;8,D585&lt;=1000),78,IF(AND(L580="Mittellos und stationär",D585&gt;4,D585&lt;=8),107,IF(AND(L580="Mittellos und stationär",D585&gt;2,D585&lt;=4),154,IF(AND(L580="Mittellos und stationär",D585&gt;1,D585&lt;=2),158,IF(AND(L580="Mittellos und stationär",D585&gt;0,D585&lt;=1),241,""))))))))))))))))))))),IF(M579="Stufe C",IF(AND(L580="Auswahl treffen",D585&gt;=0,D585&lt;=1000),J579,IF(AND(L580="Vermögend und ambulant",D585&gt;8,D585&lt;=1000),211,IF(AND(L580="Vermögend und ambulant",D585&gt;4,D585&lt;=8),257,IF(AND(L580="Vermögend und ambulant",D585&gt;2,D585&lt;=4),312,IF(AND(L580="Vermögend und ambulant",D585&gt;1,D585&lt;=2),339,IF(AND(L580="Vermögend und ambulant",D585&gt;0,D585&lt;=1),486,IF(AND(L580="Vermögend und stationär",D585&gt;8,D585&lt;=1000),127,IF(AND(L580="Vermögend und stationär",D585&gt;4,D585&lt;=8),149,IF(AND(L580="Vermögend und stationär",D585&gt;2,D585&lt;=4),229,IF(AND(L580="Vermögend und stationär",D585&gt;1,D585&lt;=2),257,IF(AND(L580="Vermögend und stationär",D585&gt;0,D585&lt;=1),327,IF(AND(L580="Mittellos und ambulant",D585&gt;8,D585&lt;=1000),171,IF(AND(L580="Mittellos und ambulant",D585&gt;4,D585&lt;=8),198,IF(AND(L580="Mittellos und ambulant",D585&gt;2,D585&lt;=4),246,IF(AND(L580="Mittellos und ambulant",D585&gt;1,D585&lt;=2),277,IF(AND(L580="Mittellos und ambulant",D585&gt;0,D585&lt;=1),339,IF(AND(L580="Mittellos und stationär",D585&gt;8,D585&lt;=1000),102,IF(AND(L580="Mittellos und stationär",D585&gt;4,D585&lt;=8),141,IF(AND(L580="Mittellos und stationär",D585&gt;2,D585&lt;=4),202,IF(AND(L580="Mittellos und stationär",D585&gt;1,D585&lt;=2),208,IF(AND(L580="Mittellos und stationär",D585&gt;0,D585&lt;=1),317,""))))))))))))))))))))),"")))*3+(J579*90)</f>
        <v>#NUM!</v>
      </c>
      <c r="M586" s="507" t="str">
        <f>CONCATENATE(K586, K585)</f>
        <v>+Inflat.-P</v>
      </c>
      <c r="N586" s="206"/>
      <c r="O586" s="207"/>
      <c r="P586" s="206" t="s">
        <v>118</v>
      </c>
      <c r="Q586" s="226"/>
      <c r="R586" s="189"/>
      <c r="S586" s="203"/>
      <c r="T586" s="203"/>
      <c r="U586" s="204"/>
      <c r="V586" s="192"/>
      <c r="W586" s="203"/>
      <c r="X586" s="203"/>
      <c r="Y586" s="204"/>
      <c r="Z586" s="192"/>
      <c r="AA586" s="209" t="s">
        <v>118</v>
      </c>
      <c r="AB586" s="209" t="s">
        <v>117</v>
      </c>
      <c r="AC586" s="204" t="s">
        <v>26</v>
      </c>
      <c r="AD586" s="192"/>
      <c r="AE586" s="203"/>
      <c r="AF586" s="203"/>
      <c r="AG586" s="204"/>
      <c r="AH586" s="193"/>
      <c r="AI586" s="203"/>
      <c r="AJ586" s="203"/>
      <c r="AK586" s="375"/>
      <c r="AL586" s="348" t="s">
        <v>150</v>
      </c>
      <c r="AM586" s="354"/>
      <c r="AN586" s="354"/>
      <c r="AO586" s="354">
        <f>IF(SUM(P580:P588)=SUM(AA580:AA588), 0, SUM(P580:P588)-SUM(AA580:AA588))</f>
        <v>0</v>
      </c>
      <c r="AP586" s="354"/>
      <c r="AQ586" s="350">
        <f>AM586+AN586+AO586+AP586</f>
        <v>0</v>
      </c>
      <c r="AR586" s="769"/>
      <c r="AS586" s="769"/>
      <c r="AT586" s="769"/>
      <c r="BM586" s="335"/>
    </row>
    <row r="587" spans="1:65" ht="22.25" customHeight="1">
      <c r="A587" s="181">
        <f t="shared" si="207"/>
        <v>45292</v>
      </c>
      <c r="B587" s="486"/>
      <c r="C587" s="489" t="s">
        <v>158</v>
      </c>
      <c r="D587" s="522" t="e">
        <f>D585+1</f>
        <v>#NUM!</v>
      </c>
      <c r="E587" s="211" t="e">
        <f>DATE(YEAR(E586),MONTH(E586),DAY(E586)+1)</f>
        <v>#NUM!</v>
      </c>
      <c r="F587" s="227" t="e">
        <f t="shared" si="204"/>
        <v>#NUM!</v>
      </c>
      <c r="G587" s="228" t="e">
        <f t="shared" si="205"/>
        <v>#NUM!</v>
      </c>
      <c r="H587" s="227" t="e">
        <f t="shared" si="206"/>
        <v>#NUM!</v>
      </c>
      <c r="I587" s="231">
        <f>IF(J586&lt;13,J586,"")</f>
        <v>3</v>
      </c>
      <c r="J587" s="230">
        <f>J588+3</f>
        <v>9</v>
      </c>
      <c r="K587" s="506" t="str">
        <f t="shared" si="188"/>
        <v/>
      </c>
      <c r="L587" s="471"/>
      <c r="M587" s="473" t="e">
        <f ca="1">SUM(J580-E588)&amp;" Tage"</f>
        <v>#NUM!</v>
      </c>
      <c r="N587" s="216"/>
      <c r="O587" s="188"/>
      <c r="P587" s="188"/>
      <c r="Q587" s="217"/>
      <c r="R587" s="189"/>
      <c r="S587" s="190"/>
      <c r="T587" s="190"/>
      <c r="U587" s="191"/>
      <c r="V587" s="192"/>
      <c r="W587" s="190"/>
      <c r="X587" s="190"/>
      <c r="Y587" s="191"/>
      <c r="Z587" s="192"/>
      <c r="AA587" s="190"/>
      <c r="AB587" s="190"/>
      <c r="AC587" s="191"/>
      <c r="AD587" s="192"/>
      <c r="AE587" s="190"/>
      <c r="AF587" s="190"/>
      <c r="AG587" s="191"/>
      <c r="AH587" s="193"/>
      <c r="AI587" s="190"/>
      <c r="AJ587" s="190"/>
      <c r="AK587" s="374"/>
      <c r="AL587" s="348"/>
      <c r="AM587" s="354"/>
      <c r="AN587" s="354"/>
      <c r="AO587" s="354"/>
      <c r="AP587" s="354"/>
      <c r="AQ587" s="350"/>
      <c r="AR587" s="769"/>
      <c r="AS587" s="769"/>
      <c r="AT587" s="769"/>
      <c r="BM587" s="335"/>
    </row>
    <row r="588" spans="1:65" ht="22.25" customHeight="1">
      <c r="A588" s="181">
        <f t="shared" si="207"/>
        <v>45292</v>
      </c>
      <c r="B588" s="485"/>
      <c r="C588" s="490"/>
      <c r="D588" s="521"/>
      <c r="E588" s="218" t="e">
        <f>DATE(YEAR(E587),MONTH(E587)+3,DAY(E587)-1)</f>
        <v>#NUM!</v>
      </c>
      <c r="F588" s="227" t="e">
        <f t="shared" si="204"/>
        <v>#NUM!</v>
      </c>
      <c r="G588" s="228" t="e">
        <f t="shared" si="205"/>
        <v>#NUM!</v>
      </c>
      <c r="H588" s="227" t="e">
        <f t="shared" si="206"/>
        <v>#NUM!</v>
      </c>
      <c r="I588" s="231">
        <f>IF(J585&lt;13,J585,"")</f>
        <v>0</v>
      </c>
      <c r="J588" s="230">
        <f>J586+3</f>
        <v>6</v>
      </c>
      <c r="K588" s="501" t="str">
        <f t="shared" si="188"/>
        <v>+Inflat.-P</v>
      </c>
      <c r="L588" s="508" t="e">
        <f>IF(M579="Stufe A",IF(AND(L580="Auswahl treffen",D587&gt;=0,D587&lt;=1000),J579,IF(AND(L580="Vermögend und ambulant",D587&gt;8,D587&lt;=1000),130,IF(AND(L580="Vermögend und ambulant",D587&gt;4,D587&lt;=8),158,IF(AND(L580="Vermögend und ambulant",D587&gt;2,D587&lt;=4),192,IF(AND(L580="Vermögend und ambulant",D587&gt;1,D587&lt;=2),208,IF(AND(L580="Vermögend und ambulant",D587&gt;0,D587&lt;=1),298,IF(AND(L580="Vermögend und stationär",D587&gt;8,D587&lt;=1000),78,IF(AND(L580="Vermögend und stationär",D587&gt;4,D587&lt;=8),91,IF(AND(L580="Vermögend und stationär",D587&gt;2,D587&lt;=4),140,IF(AND(L580="Vermögend und stationär",D587&gt;1,D587&lt;=2),158,IF(AND(L580="Vermögend und stationär",D587&gt;0,D587&lt;=1),200,IF(AND(L580="Mittellos und ambulant",D587&gt;8,D587&lt;=1000),105,IF(AND(L580="Mittellos und ambulant",D587&gt;4,D587&lt;=8),122,IF(AND(L580="Mittellos und ambulant",D587&gt;2,D587&lt;=4),151,IF(AND(L580="Mittellos und ambulant",D587&gt;1,D587&lt;=2),170,IF(AND(L580="Mittellos und ambulant",D587&gt;0,D587&lt;=1),208,IF(AND(L580="Mittellos und stationär",D587&gt;8,D587&lt;=1000),62,IF(AND(L580="Mittellos und stationär",D587&gt;4,D587&lt;=8),87,IF(AND(L580="Mittellos und stationär",D587&gt;2,D587&lt;=4),124,IF(AND(L580="Mittellos und stationär",D587&gt;1,D587&lt;=2),129,IF(AND(L580="Mittellos und stationär",D587&gt;0,D587&lt;=1),194,""))))))))))))))))))))),IF(M579="Stufe B",IF(AND(L580="Auswahl treffen",D587&gt;=0,D587&lt;=1000),J579,IF(AND(L580="Vermögend und ambulant",D587&gt;8,D587&lt;=1000),161,IF(AND(L580="Vermögend und ambulant",D587&gt;4,D587&lt;=8),196,IF(AND(L580="Vermögend und ambulant",D587&gt;2,D587&lt;=4),238,IF(AND(L580="Vermögend und ambulant",D587&gt;1,D587&lt;=2),258,IF(AND(L580="Vermögend und ambulant",D587&gt;0,D587&lt;=1),370,IF(AND(L580="Vermögend und stationär",D587&gt;8,D587&lt;=1000),96,IF(AND(L580="Vermögend und stationär",D587&gt;4,D587&lt;=8),113,IF(AND(L580="Vermögend und stationär",D587&gt;2,D587&lt;=4),174,IF(AND(L580="Vermögend und stationär",D587&gt;1,D587&lt;=2),196,IF(AND(L580="Vermögend und stationär",D587&gt;0,D587&lt;=1),249,IF(AND(L580="Mittellos und ambulant",D587&gt;8,D587&lt;=1000),130,IF(AND(L580="Mittellos und ambulant",D587&gt;4,D587&lt;=8),151,IF(AND(L580="Mittellos und ambulant",D587&gt;2,D587&lt;=4),188,IF(AND(L580="Mittellos und ambulant",D587&gt;1,D587&lt;=2),211,IF(AND(L580="Mittellos und ambulant",D587&gt;0,D587&lt;=1),258,IF(AND(L580="Mittellos und stationär",D587&gt;8,D587&lt;=1000),78,IF(AND(L580="Mittellos und stationär",D587&gt;4,D587&lt;=8),107,IF(AND(L580="Mittellos und stationär",D587&gt;2,D587&lt;=4),154,IF(AND(L580="Mittellos und stationär",D587&gt;1,D587&lt;=2),158,IF(AND(L580="Mittellos und stationär",D587&gt;0,D587&lt;=1),241,""))))))))))))))))))))),IF(M579="Stufe C",IF(AND(L580="Auswahl treffen",D587&gt;=0,D587&lt;=1000),J579,IF(AND(L580="Vermögend und ambulant",D587&gt;8,D587&lt;=1000),211,IF(AND(L580="Vermögend und ambulant",D587&gt;4,D587&lt;=8),257,IF(AND(L580="Vermögend und ambulant",D587&gt;2,D587&lt;=4),312,IF(AND(L580="Vermögend und ambulant",D587&gt;1,D587&lt;=2),339,IF(AND(L580="Vermögend und ambulant",D587&gt;0,D587&lt;=1),486,IF(AND(L580="Vermögend und stationär",D587&gt;8,D587&lt;=1000),127,IF(AND(L580="Vermögend und stationär",D587&gt;4,D587&lt;=8),149,IF(AND(L580="Vermögend und stationär",D587&gt;2,D587&lt;=4),229,IF(AND(L580="Vermögend und stationär",D587&gt;1,D587&lt;=2),257,IF(AND(L580="Vermögend und stationär",D587&gt;0,D587&lt;=1),327,IF(AND(L580="Mittellos und ambulant",D587&gt;8,D587&lt;=1000),171,IF(AND(L580="Mittellos und ambulant",D587&gt;4,D587&lt;=8),198,IF(AND(L580="Mittellos und ambulant",D587&gt;2,D587&lt;=4),246,IF(AND(L580="Mittellos und ambulant",D587&gt;1,D587&lt;=2),277,IF(AND(L580="Mittellos und ambulant",D587&gt;0,D587&lt;=1),339,IF(AND(L580="Mittellos und stationär",D587&gt;8,D587&lt;=1000),102,IF(AND(L580="Mittellos und stationär",D587&gt;4,D587&lt;=8),141,IF(AND(L580="Mittellos und stationär",D587&gt;2,D587&lt;=4),202,IF(AND(L580="Mittellos und stationär",D587&gt;1,D587&lt;=2),208,IF(AND(L580="Mittellos und stationär",D587&gt;0,D587&lt;=1),317,""))))))))))))))))))))),"")))*3+(J579*90)</f>
        <v>#NUM!</v>
      </c>
      <c r="M588" s="507" t="str">
        <f>CONCATENATE(K588, K587)</f>
        <v>+Inflat.-P</v>
      </c>
      <c r="N588" s="216"/>
      <c r="O588" s="188"/>
      <c r="P588" s="188"/>
      <c r="Q588" s="217" t="s">
        <v>118</v>
      </c>
      <c r="R588" s="189"/>
      <c r="S588" s="190"/>
      <c r="T588" s="190"/>
      <c r="U588" s="191"/>
      <c r="V588" s="192"/>
      <c r="W588" s="190"/>
      <c r="X588" s="190"/>
      <c r="Y588" s="191"/>
      <c r="Z588" s="192"/>
      <c r="AA588" s="190"/>
      <c r="AB588" s="190"/>
      <c r="AC588" s="191"/>
      <c r="AD588" s="192"/>
      <c r="AE588" s="190" t="s">
        <v>118</v>
      </c>
      <c r="AF588" s="190" t="s">
        <v>117</v>
      </c>
      <c r="AG588" s="191" t="s">
        <v>26</v>
      </c>
      <c r="AH588" s="193"/>
      <c r="AI588" s="190" t="s">
        <v>118</v>
      </c>
      <c r="AJ588" s="190" t="s">
        <v>117</v>
      </c>
      <c r="AK588" s="374" t="s">
        <v>26</v>
      </c>
      <c r="AL588" s="348" t="s">
        <v>151</v>
      </c>
      <c r="AM588" s="354"/>
      <c r="AN588" s="354"/>
      <c r="AO588" s="354"/>
      <c r="AP588" s="354">
        <f>IF(SUM(Q580:Q588)=SUM(AE580:AE588,AI580:AI588), 0, SUM(Q580:Q588)-SUM(AE580:AE588,AI580:AI588))</f>
        <v>0</v>
      </c>
      <c r="AQ588" s="350">
        <f>AM588+AN588+AO588+AP588</f>
        <v>0</v>
      </c>
      <c r="AR588" s="769"/>
      <c r="AS588" s="769"/>
      <c r="AT588" s="769"/>
      <c r="BM588" s="335"/>
    </row>
    <row r="589" spans="1:65" ht="22" customHeight="1">
      <c r="A589" s="181">
        <f t="shared" si="207"/>
        <v>45292</v>
      </c>
      <c r="B589" s="232" t="s">
        <v>74</v>
      </c>
      <c r="C589" s="233" t="s">
        <v>75</v>
      </c>
      <c r="D589" s="234" t="s">
        <v>76</v>
      </c>
      <c r="E589" s="235" t="s">
        <v>11</v>
      </c>
      <c r="F589" s="235" t="s">
        <v>4</v>
      </c>
      <c r="G589" s="235" t="s">
        <v>5</v>
      </c>
      <c r="H589" s="235" t="s">
        <v>6</v>
      </c>
      <c r="I589" s="236" t="s">
        <v>77</v>
      </c>
      <c r="J589" s="306"/>
      <c r="K589" s="506" t="str">
        <f t="shared" si="188"/>
        <v/>
      </c>
      <c r="L589" s="306" t="str">
        <f>IFERROR(VLOOKUP(B590,'Aktuelle Einnahmen'!A2:J104,10,0),"")</f>
        <v/>
      </c>
      <c r="M589" s="510" t="str">
        <f>M579</f>
        <v>Stufe C</v>
      </c>
      <c r="N589" s="237"/>
      <c r="O589" s="238"/>
      <c r="P589" s="238"/>
      <c r="Q589" s="239"/>
      <c r="R589" s="240"/>
      <c r="S589" s="241"/>
      <c r="T589" s="241"/>
      <c r="U589" s="242"/>
      <c r="V589" s="243"/>
      <c r="W589" s="241"/>
      <c r="X589" s="241"/>
      <c r="Y589" s="242"/>
      <c r="Z589" s="243"/>
      <c r="AA589" s="241"/>
      <c r="AB589" s="241"/>
      <c r="AC589" s="242"/>
      <c r="AD589" s="243"/>
      <c r="AE589" s="241"/>
      <c r="AF589" s="241"/>
      <c r="AG589" s="242"/>
      <c r="AH589" s="240"/>
      <c r="AI589" s="241"/>
      <c r="AJ589" s="241"/>
      <c r="AK589" s="377"/>
      <c r="AL589" s="347"/>
      <c r="AM589" s="353"/>
      <c r="AN589" s="353"/>
      <c r="AO589" s="353"/>
      <c r="AP589" s="353"/>
      <c r="AQ589" s="349"/>
      <c r="AR589" s="768"/>
      <c r="AS589" s="768"/>
      <c r="AT589" s="768"/>
      <c r="BM589" s="335"/>
    </row>
    <row r="590" spans="1:65" ht="23" customHeight="1">
      <c r="A590" s="181">
        <f t="shared" si="207"/>
        <v>45292</v>
      </c>
      <c r="B590" s="182">
        <v>59</v>
      </c>
      <c r="C590" s="245">
        <f>IFERROR(VLOOKUP($B590,'Aktuelle Einnahmen'!A2:G104,3,0),"")</f>
        <v>0</v>
      </c>
      <c r="D590" s="246">
        <f>IFERROR(VLOOKUP($B590,'Aktuelle Einnahmen'!A2:G104,2,0),"")</f>
        <v>0</v>
      </c>
      <c r="E590" s="247">
        <f>IFERROR(VLOOKUP($B590,'Aktuelle Einnahmen'!A2:G104,4,0),"")</f>
        <v>0</v>
      </c>
      <c r="F590" s="94">
        <f>IFERROR(VLOOKUP($B590,'Aktuelle Einnahmen'!A2:G104,5,0),"")</f>
        <v>0</v>
      </c>
      <c r="G590" s="94">
        <f>IFERROR(VLOOKUP($B590,'Aktuelle Einnahmen'!A2:G104,6,0),"")</f>
        <v>0</v>
      </c>
      <c r="H590" s="94">
        <f>IFERROR(VLOOKUP($B590,'Aktuelle Einnahmen'!A2:G104,7,0),"")</f>
        <v>0</v>
      </c>
      <c r="I590" s="186" t="e">
        <f>DATE(H590,G590,F590)</f>
        <v>#NUM!</v>
      </c>
      <c r="J590" s="472">
        <f ca="1">J580</f>
        <v>45475</v>
      </c>
      <c r="K590" s="501" t="str">
        <f t="shared" ref="K590:K653" si="208">K588</f>
        <v>+Inflat.-P</v>
      </c>
      <c r="L590" s="1262" t="str">
        <f>IFERROR(VLOOKUP(B590,'Aktuelle Einnahmen'!A22:I124,9,0),"")</f>
        <v>Auswahl treffen</v>
      </c>
      <c r="M590" s="1263"/>
      <c r="N590" s="261"/>
      <c r="O590" s="261"/>
      <c r="P590" s="261"/>
      <c r="Q590" s="261"/>
      <c r="R590" s="189"/>
      <c r="S590" s="190"/>
      <c r="T590" s="190"/>
      <c r="U590" s="191"/>
      <c r="V590" s="192"/>
      <c r="W590" s="190"/>
      <c r="X590" s="190"/>
      <c r="Y590" s="191"/>
      <c r="Z590" s="192"/>
      <c r="AA590" s="190"/>
      <c r="AB590" s="190"/>
      <c r="AC590" s="191"/>
      <c r="AD590" s="192"/>
      <c r="AE590" s="190"/>
      <c r="AF590" s="190"/>
      <c r="AG590" s="191"/>
      <c r="AH590" s="193"/>
      <c r="AI590" s="190"/>
      <c r="AJ590" s="190"/>
      <c r="AK590" s="374"/>
      <c r="AL590" s="348"/>
      <c r="AM590" s="354"/>
      <c r="AN590" s="354"/>
      <c r="AO590" s="354"/>
      <c r="AP590" s="354"/>
      <c r="AQ590" s="350"/>
      <c r="AR590" s="769"/>
      <c r="AS590" s="769"/>
      <c r="AT590" s="769"/>
      <c r="BM590" s="335"/>
    </row>
    <row r="591" spans="1:65" ht="22.25" customHeight="1">
      <c r="A591" s="181">
        <f t="shared" si="207"/>
        <v>45292</v>
      </c>
      <c r="B591" s="484" t="e">
        <f>DAY(I590)</f>
        <v>#NUM!</v>
      </c>
      <c r="C591" s="489" t="s">
        <v>158</v>
      </c>
      <c r="D591" s="520" t="e">
        <f>(I591*4)+J591/3+1</f>
        <v>#NUM!</v>
      </c>
      <c r="E591" s="194" t="e">
        <f>J593+1</f>
        <v>#NUM!</v>
      </c>
      <c r="F591" s="195" t="e">
        <f t="shared" ref="F591:F598" si="209">DAY(E591)</f>
        <v>#NUM!</v>
      </c>
      <c r="G591" s="196" t="e">
        <f t="shared" ref="G591:G598" si="210">MONTH(E591)</f>
        <v>#NUM!</v>
      </c>
      <c r="H591" s="195" t="e">
        <f t="shared" ref="H591:H598" si="211">YEAR(E591)</f>
        <v>#NUM!</v>
      </c>
      <c r="I591" s="197" t="e">
        <f>H591-(H590+2000)</f>
        <v>#NUM!</v>
      </c>
      <c r="J591" s="198" t="e">
        <f>G591-G590</f>
        <v>#NUM!</v>
      </c>
      <c r="K591" s="506" t="str">
        <f>L589</f>
        <v/>
      </c>
      <c r="L591" s="469"/>
      <c r="M591" s="473" t="e">
        <f ca="1">SUM(J590-E592)&amp;" Tage"</f>
        <v>#NUM!</v>
      </c>
      <c r="N591" s="206"/>
      <c r="O591" s="201"/>
      <c r="P591" s="201"/>
      <c r="Q591" s="202"/>
      <c r="R591" s="189"/>
      <c r="S591" s="203"/>
      <c r="T591" s="203"/>
      <c r="U591" s="204"/>
      <c r="V591" s="192"/>
      <c r="W591" s="203"/>
      <c r="X591" s="203"/>
      <c r="Y591" s="204"/>
      <c r="Z591" s="192"/>
      <c r="AA591" s="203"/>
      <c r="AB591" s="203"/>
      <c r="AC591" s="204"/>
      <c r="AD591" s="192"/>
      <c r="AE591" s="203"/>
      <c r="AF591" s="203"/>
      <c r="AG591" s="204"/>
      <c r="AH591" s="193"/>
      <c r="AI591" s="203"/>
      <c r="AJ591" s="203"/>
      <c r="AK591" s="375"/>
      <c r="AL591" s="348"/>
      <c r="AM591" s="354"/>
      <c r="AN591" s="354"/>
      <c r="AO591" s="354"/>
      <c r="AP591" s="354"/>
      <c r="AQ591" s="350"/>
      <c r="AR591" s="769"/>
      <c r="AS591" s="769"/>
      <c r="AT591" s="769"/>
      <c r="BM591" s="335"/>
    </row>
    <row r="592" spans="1:65" ht="22.25" customHeight="1">
      <c r="A592" s="181">
        <f t="shared" si="207"/>
        <v>45292</v>
      </c>
      <c r="B592" s="485"/>
      <c r="C592" s="490"/>
      <c r="D592" s="521"/>
      <c r="E592" s="194" t="e">
        <f>DATE(YEAR(E591),MONTH(E591)+3,DAY(E591)-1)</f>
        <v>#NUM!</v>
      </c>
      <c r="F592" s="195" t="e">
        <f t="shared" si="209"/>
        <v>#NUM!</v>
      </c>
      <c r="G592" s="196" t="e">
        <f t="shared" si="210"/>
        <v>#NUM!</v>
      </c>
      <c r="H592" s="195" t="e">
        <f t="shared" si="211"/>
        <v>#NUM!</v>
      </c>
      <c r="I592" s="244">
        <v>-1</v>
      </c>
      <c r="J592" s="198" t="e">
        <f>F591-F590</f>
        <v>#NUM!</v>
      </c>
      <c r="K592" s="501" t="str">
        <f t="shared" si="208"/>
        <v>+Inflat.-P</v>
      </c>
      <c r="L592" s="511" t="e">
        <f>IF(M589="Stufe A",IF(AND(L590="Auswahl treffen",D591&gt;=0,D591&lt;=1000),J589,IF(AND(L590="Vermögend und ambulant",D591&gt;8,D591&lt;=1000),130,IF(AND(L590="Vermögend und ambulant",D591&gt;4,D591&lt;=8),158,IF(AND(L590="Vermögend und ambulant",D591&gt;2,D591&lt;=4),192,IF(AND(L590="Vermögend und ambulant",D591&gt;1,D591&lt;=2),208,IF(AND(L590="Vermögend und ambulant",D591&gt;0,D591&lt;=1),298,IF(AND(L590="Vermögend und stationär",D591&gt;8,D591&lt;=1000),78,IF(AND(L590="Vermögend und stationär",D591&gt;4,D591&lt;=8),91,IF(AND(L590="Vermögend und stationär",D591&gt;2,D591&lt;=4),140,IF(AND(L590="Vermögend und stationär",D591&gt;1,D591&lt;=2),158,IF(AND(L590="Vermögend und stationär",D591&gt;0,D591&lt;=1),200,IF(AND(L590="Mittellos und ambulant",D591&gt;8,D591&lt;=1000),105,IF(AND(L590="Mittellos und ambulant",D591&gt;4,D591&lt;=8),122,IF(AND(L590="Mittellos und ambulant",D591&gt;2,D591&lt;=4),151,IF(AND(L590="Mittellos und ambulant",D591&gt;1,D591&lt;=2),170,IF(AND(L590="Mittellos und ambulant",D591&gt;0,D591&lt;=1),208,IF(AND(L590="Mittellos und stationär",D591&gt;8,D591&lt;=1000),62,IF(AND(L590="Mittellos und stationär",D591&gt;4,D591&lt;=8),87,IF(AND(L590="Mittellos und stationär",D591&gt;2,D591&lt;=4),124,IF(AND(L590="Mittellos und stationär",D591&gt;1,D591&lt;=2),129,IF(AND(L590="Mittellos und stationär",D591&gt;0,D591&lt;=1),194,""))))))))))))))))))))),IF(M589="Stufe B",IF(AND(L590="Auswahl treffen",D591&gt;=0,D591&lt;=1000),J589,IF(AND(L590="Vermögend und ambulant",D591&gt;8,D591&lt;=1000),161,IF(AND(L590="Vermögend und ambulant",D591&gt;4,D591&lt;=8),196,IF(AND(L590="Vermögend und ambulant",D591&gt;2,D591&lt;=4),238,IF(AND(L590="Vermögend und ambulant",D591&gt;1,D591&lt;=2),258,IF(AND(L590="Vermögend und ambulant",D591&gt;0,D591&lt;=1),370,IF(AND(L590="Vermögend und stationär",D591&gt;8,D591&lt;=1000),96,IF(AND(L590="Vermögend und stationär",D591&gt;4,D591&lt;=8),113,IF(AND(L590="Vermögend und stationär",D591&gt;2,D591&lt;=4),174,IF(AND(L590="Vermögend und stationär",D591&gt;1,D591&lt;=2),196,IF(AND(L590="Vermögend und stationär",D591&gt;0,D591&lt;=1),249,IF(AND(L590="Mittellos und ambulant",D591&gt;8,D591&lt;=1000),130,IF(AND(L590="Mittellos und ambulant",D591&gt;4,D591&lt;=8),151,IF(AND(L590="Mittellos und ambulant",D591&gt;2,D591&lt;=4),188,IF(AND(L590="Mittellos und ambulant",D591&gt;1,D591&lt;=2),211,IF(AND(L590="Mittellos und ambulant",D591&gt;0,D591&lt;=1),258,IF(AND(L590="Mittellos und stationär",D591&gt;8,D591&lt;=1000),78,IF(AND(L590="Mittellos und stationär",D591&gt;4,D591&lt;=8),107,IF(AND(L590="Mittellos und stationär",D591&gt;2,D591&lt;=4),154,IF(AND(L590="Mittellos und stationär",D591&gt;1,D591&lt;=2),158,IF(AND(L590="Mittellos und stationär",D591&gt;0,D591&lt;=1),241,""))))))))))))))))))))),IF(M589="Stufe C",IF(AND(L590="Auswahl treffen",D591&gt;=0,D591&lt;=1000),J589,IF(AND(L590="Vermögend und ambulant",D591&gt;8,D591&lt;=1000),211,IF(AND(L590="Vermögend und ambulant",D591&gt;4,D591&lt;=8),257,IF(AND(L590="Vermögend und ambulant",D591&gt;2,D591&lt;=4),312,IF(AND(L590="Vermögend und ambulant",D591&gt;1,D591&lt;=2),339,IF(AND(L590="Vermögend und ambulant",D591&gt;0,D591&lt;=1),486,IF(AND(L590="Vermögend und stationär",D591&gt;8,D591&lt;=1000),127,IF(AND(L590="Vermögend und stationär",D591&gt;4,D591&lt;=8),149,IF(AND(L590="Vermögend und stationär",D591&gt;2,D591&lt;=4),229,IF(AND(L590="Vermögend und stationär",D591&gt;1,D591&lt;=2),257,IF(AND(L590="Vermögend und stationär",D591&gt;0,D591&lt;=1),327,IF(AND(L590="Mittellos und ambulant",D591&gt;8,D591&lt;=1000),171,IF(AND(L590="Mittellos und ambulant",D591&gt;4,D591&lt;=8),198,IF(AND(L590="Mittellos und ambulant",D591&gt;2,D591&lt;=4),246,IF(AND(L590="Mittellos und ambulant",D591&gt;1,D591&lt;=2),277,IF(AND(L590="Mittellos und ambulant",D591&gt;0,D591&lt;=1),339,IF(AND(L590="Mittellos und stationär",D591&gt;8,D591&lt;=1000),102,IF(AND(L590="Mittellos und stationär",D591&gt;4,D591&lt;=8),141,IF(AND(L590="Mittellos und stationär",D591&gt;2,D591&lt;=4),202,IF(AND(L590="Mittellos und stationär",D591&gt;1,D591&lt;=2),208,IF(AND(L590="Mittellos und stationär",D591&gt;0,D591&lt;=1),317,""))))))))))))))))))))),"")))*3+(J589*90)</f>
        <v>#NUM!</v>
      </c>
      <c r="M592" s="507" t="str">
        <f>CONCATENATE(K592, K591)</f>
        <v>+Inflat.-P</v>
      </c>
      <c r="N592" s="206" t="s">
        <v>118</v>
      </c>
      <c r="O592" s="207"/>
      <c r="P592" s="207"/>
      <c r="Q592" s="208"/>
      <c r="R592" s="187"/>
      <c r="S592" s="209" t="s">
        <v>118</v>
      </c>
      <c r="T592" s="201" t="s">
        <v>117</v>
      </c>
      <c r="U592" s="210" t="s">
        <v>26</v>
      </c>
      <c r="V592" s="192"/>
      <c r="W592" s="203"/>
      <c r="X592" s="203"/>
      <c r="Y592" s="210"/>
      <c r="Z592" s="192"/>
      <c r="AA592" s="203"/>
      <c r="AB592" s="203"/>
      <c r="AC592" s="210"/>
      <c r="AD592" s="192"/>
      <c r="AE592" s="203"/>
      <c r="AF592" s="203"/>
      <c r="AG592" s="210"/>
      <c r="AH592" s="193"/>
      <c r="AI592" s="203"/>
      <c r="AJ592" s="203"/>
      <c r="AK592" s="376"/>
      <c r="AL592" s="348" t="s">
        <v>148</v>
      </c>
      <c r="AM592" s="354">
        <f>IF(SUM(N590:N598)=SUM(S590:S598), 0, SUM(N590:N598)-SUM(S590:S598))</f>
        <v>0</v>
      </c>
      <c r="AN592" s="354"/>
      <c r="AO592" s="354"/>
      <c r="AP592" s="354"/>
      <c r="AQ592" s="350">
        <f>AM592+AN592+AO592+AP592</f>
        <v>0</v>
      </c>
      <c r="AR592" s="769"/>
      <c r="AS592" s="769"/>
      <c r="AT592" s="769"/>
      <c r="BM592" s="335"/>
    </row>
    <row r="593" spans="1:65" ht="22.25" customHeight="1">
      <c r="A593" s="181">
        <f t="shared" si="207"/>
        <v>45292</v>
      </c>
      <c r="B593" s="484" t="e">
        <f>MONTH(I590)</f>
        <v>#NUM!</v>
      </c>
      <c r="C593" s="489" t="s">
        <v>158</v>
      </c>
      <c r="D593" s="522" t="e">
        <f>D591+1</f>
        <v>#NUM!</v>
      </c>
      <c r="E593" s="211" t="e">
        <f>DATE(YEAR(E592),MONTH(E592),DAY(E592)+1)</f>
        <v>#NUM!</v>
      </c>
      <c r="F593" s="212" t="e">
        <f t="shared" si="209"/>
        <v>#NUM!</v>
      </c>
      <c r="G593" s="213" t="e">
        <f t="shared" si="210"/>
        <v>#NUM!</v>
      </c>
      <c r="H593" s="212" t="e">
        <f t="shared" si="211"/>
        <v>#NUM!</v>
      </c>
      <c r="I593" s="214" t="str">
        <f>IF(D590&lt;&gt;0,"-1T","")</f>
        <v/>
      </c>
      <c r="J593" s="215" t="e">
        <f>DATE($B595,I594,$B591)</f>
        <v>#NUM!</v>
      </c>
      <c r="K593" s="501" t="str">
        <f t="shared" si="208"/>
        <v/>
      </c>
      <c r="L593" s="470"/>
      <c r="M593" s="473" t="e">
        <f ca="1">SUM(J590-E594)&amp;" Tage"</f>
        <v>#NUM!</v>
      </c>
      <c r="N593" s="216"/>
      <c r="O593" s="217"/>
      <c r="P593" s="188"/>
      <c r="Q593" s="217"/>
      <c r="R593" s="189"/>
      <c r="S593" s="190"/>
      <c r="T593" s="190"/>
      <c r="U593" s="191"/>
      <c r="V593" s="192"/>
      <c r="W593" s="190"/>
      <c r="X593" s="190"/>
      <c r="Y593" s="191"/>
      <c r="Z593" s="192"/>
      <c r="AA593" s="190"/>
      <c r="AB593" s="190"/>
      <c r="AC593" s="191"/>
      <c r="AD593" s="192"/>
      <c r="AE593" s="190"/>
      <c r="AF593" s="190"/>
      <c r="AG593" s="191"/>
      <c r="AH593" s="193"/>
      <c r="AI593" s="190"/>
      <c r="AJ593" s="190"/>
      <c r="AK593" s="374"/>
      <c r="AL593" s="348"/>
      <c r="AM593" s="354"/>
      <c r="AN593" s="354"/>
      <c r="AO593" s="354"/>
      <c r="AP593" s="354"/>
      <c r="AQ593" s="350"/>
      <c r="AR593" s="769"/>
      <c r="AS593" s="769"/>
      <c r="AT593" s="769"/>
      <c r="BM593" s="335"/>
    </row>
    <row r="594" spans="1:65" ht="22.25" customHeight="1">
      <c r="A594" s="181">
        <f t="shared" si="207"/>
        <v>45292</v>
      </c>
      <c r="B594" s="485"/>
      <c r="C594" s="490"/>
      <c r="D594" s="521"/>
      <c r="E594" s="218" t="e">
        <f>DATE(YEAR(E593),MONTH(E593)+3,DAY(E593)-1)</f>
        <v>#NUM!</v>
      </c>
      <c r="F594" s="212" t="e">
        <f t="shared" si="209"/>
        <v>#NUM!</v>
      </c>
      <c r="G594" s="213" t="e">
        <f t="shared" si="210"/>
        <v>#NUM!</v>
      </c>
      <c r="H594" s="212" t="e">
        <f t="shared" si="211"/>
        <v>#NUM!</v>
      </c>
      <c r="I594" s="219">
        <f>MAX(I595:I598)</f>
        <v>9</v>
      </c>
      <c r="J594" s="220" t="e">
        <f>DATE(YEAR(J593)+1,MONTH(J593),DAY(J593))</f>
        <v>#NUM!</v>
      </c>
      <c r="K594" s="506" t="str">
        <f t="shared" si="208"/>
        <v>+Inflat.-P</v>
      </c>
      <c r="L594" s="508" t="e">
        <f>IF(M589="Stufe A",IF(AND(L590="Auswahl treffen",D593&gt;=0,D593&lt;=1000),J589,IF(AND(L590="Vermögend und ambulant",D593&gt;8,D593&lt;=1000),130,IF(AND(L590="Vermögend und ambulant",D593&gt;4,D593&lt;=8),158,IF(AND(L590="Vermögend und ambulant",D593&gt;2,D593&lt;=4),192,IF(AND(L590="Vermögend und ambulant",D593&gt;1,D593&lt;=2),208,IF(AND(L590="Vermögend und ambulant",D593&gt;0,D593&lt;=1),298,IF(AND(L590="Vermögend und stationär",D593&gt;8,D593&lt;=1000),78,IF(AND(L590="Vermögend und stationär",D593&gt;4,D593&lt;=8),91,IF(AND(L590="Vermögend und stationär",D593&gt;2,D593&lt;=4),140,IF(AND(L590="Vermögend und stationär",D593&gt;1,D593&lt;=2),158,IF(AND(L590="Vermögend und stationär",D593&gt;0,D593&lt;=1),200,IF(AND(L590="Mittellos und ambulant",D593&gt;8,D593&lt;=1000),105,IF(AND(L590="Mittellos und ambulant",D593&gt;4,D593&lt;=8),122,IF(AND(L590="Mittellos und ambulant",D593&gt;2,D593&lt;=4),151,IF(AND(L590="Mittellos und ambulant",D593&gt;1,D593&lt;=2),170,IF(AND(L590="Mittellos und ambulant",D593&gt;0,D593&lt;=1),208,IF(AND(L590="Mittellos und stationär",D593&gt;8,D593&lt;=1000),62,IF(AND(L590="Mittellos und stationär",D593&gt;4,D593&lt;=8),87,IF(AND(L590="Mittellos und stationär",D593&gt;2,D593&lt;=4),124,IF(AND(L590="Mittellos und stationär",D593&gt;1,D593&lt;=2),129,IF(AND(L590="Mittellos und stationär",D593&gt;0,D593&lt;=1),194,""))))))))))))))))))))),IF(M589="Stufe B",IF(AND(L590="Auswahl treffen",D593&gt;=0,D593&lt;=1000),J589,IF(AND(L590="Vermögend und ambulant",D593&gt;8,D593&lt;=1000),161,IF(AND(L590="Vermögend und ambulant",D593&gt;4,D593&lt;=8),196,IF(AND(L590="Vermögend und ambulant",D593&gt;2,D593&lt;=4),238,IF(AND(L590="Vermögend und ambulant",D593&gt;1,D593&lt;=2),258,IF(AND(L590="Vermögend und ambulant",D593&gt;0,D593&lt;=1),370,IF(AND(L590="Vermögend und stationär",D593&gt;8,D593&lt;=1000),96,IF(AND(L590="Vermögend und stationär",D593&gt;4,D593&lt;=8),113,IF(AND(L590="Vermögend und stationär",D593&gt;2,D593&lt;=4),174,IF(AND(L590="Vermögend und stationär",D593&gt;1,D593&lt;=2),196,IF(AND(L590="Vermögend und stationär",D593&gt;0,D593&lt;=1),249,IF(AND(L590="Mittellos und ambulant",D593&gt;8,D593&lt;=1000),130,IF(AND(L590="Mittellos und ambulant",D593&gt;4,D593&lt;=8),151,IF(AND(L590="Mittellos und ambulant",D593&gt;2,D593&lt;=4),188,IF(AND(L590="Mittellos und ambulant",D593&gt;1,D593&lt;=2),211,IF(AND(L590="Mittellos und ambulant",D593&gt;0,D593&lt;=1),258,IF(AND(L590="Mittellos und stationär",D593&gt;8,D593&lt;=1000),78,IF(AND(L590="Mittellos und stationär",D593&gt;4,D593&lt;=8),107,IF(AND(L590="Mittellos und stationär",D593&gt;2,D593&lt;=4),154,IF(AND(L590="Mittellos und stationär",D593&gt;1,D593&lt;=2),158,IF(AND(L590="Mittellos und stationär",D593&gt;0,D593&lt;=1),241,""))))))))))))))))))))),IF(M589="Stufe C",IF(AND(L590="Auswahl treffen",D593&gt;=0,D593&lt;=1000),J589,IF(AND(L590="Vermögend und ambulant",D593&gt;8,D593&lt;=1000),211,IF(AND(L590="Vermögend und ambulant",D593&gt;4,D593&lt;=8),257,IF(AND(L590="Vermögend und ambulant",D593&gt;2,D593&lt;=4),312,IF(AND(L590="Vermögend und ambulant",D593&gt;1,D593&lt;=2),339,IF(AND(L590="Vermögend und ambulant",D593&gt;0,D593&lt;=1),486,IF(AND(L590="Vermögend und stationär",D593&gt;8,D593&lt;=1000),127,IF(AND(L590="Vermögend und stationär",D593&gt;4,D593&lt;=8),149,IF(AND(L590="Vermögend und stationär",D593&gt;2,D593&lt;=4),229,IF(AND(L590="Vermögend und stationär",D593&gt;1,D593&lt;=2),257,IF(AND(L590="Vermögend und stationär",D593&gt;0,D593&lt;=1),327,IF(AND(L590="Mittellos und ambulant",D593&gt;8,D593&lt;=1000),171,IF(AND(L590="Mittellos und ambulant",D593&gt;4,D593&lt;=8),198,IF(AND(L590="Mittellos und ambulant",D593&gt;2,D593&lt;=4),246,IF(AND(L590="Mittellos und ambulant",D593&gt;1,D593&lt;=2),277,IF(AND(L590="Mittellos und ambulant",D593&gt;0,D593&lt;=1),339,IF(AND(L590="Mittellos und stationär",D593&gt;8,D593&lt;=1000),102,IF(AND(L590="Mittellos und stationär",D593&gt;4,D593&lt;=8),141,IF(AND(L590="Mittellos und stationär",D593&gt;2,D593&lt;=4),202,IF(AND(L590="Mittellos und stationär",D593&gt;1,D593&lt;=2),208,IF(AND(L590="Mittellos und stationär",D593&gt;0,D593&lt;=1),317,""))))))))))))))))))))),"")))*3+(J589*90)</f>
        <v>#NUM!</v>
      </c>
      <c r="M594" s="507" t="str">
        <f>CONCATENATE(K594, K593)</f>
        <v>+Inflat.-P</v>
      </c>
      <c r="N594" s="216"/>
      <c r="O594" s="188" t="s">
        <v>118</v>
      </c>
      <c r="P594" s="188"/>
      <c r="Q594" s="221"/>
      <c r="R594" s="199"/>
      <c r="S594" s="190"/>
      <c r="T594" s="190"/>
      <c r="U594" s="191"/>
      <c r="V594" s="192"/>
      <c r="W594" s="222" t="s">
        <v>118</v>
      </c>
      <c r="X594" s="222" t="s">
        <v>117</v>
      </c>
      <c r="Y594" s="191" t="s">
        <v>26</v>
      </c>
      <c r="Z594" s="192"/>
      <c r="AA594" s="190"/>
      <c r="AB594" s="190"/>
      <c r="AC594" s="191"/>
      <c r="AD594" s="192"/>
      <c r="AE594" s="190"/>
      <c r="AF594" s="190"/>
      <c r="AG594" s="191"/>
      <c r="AH594" s="193"/>
      <c r="AI594" s="190"/>
      <c r="AJ594" s="190"/>
      <c r="AK594" s="374"/>
      <c r="AL594" s="348" t="s">
        <v>149</v>
      </c>
      <c r="AM594" s="354"/>
      <c r="AN594" s="354">
        <f>IF(SUM(O590:O598)=SUM(W590:W598), 0, SUM(O590:O598)-SUM(W590:W598))</f>
        <v>0</v>
      </c>
      <c r="AO594" s="354"/>
      <c r="AP594" s="354"/>
      <c r="AQ594" s="350">
        <f>AM594+AN594+AO594+AP594</f>
        <v>0</v>
      </c>
      <c r="AR594" s="769"/>
      <c r="AS594" s="769"/>
      <c r="AT594" s="769"/>
      <c r="BM594" s="335"/>
    </row>
    <row r="595" spans="1:65" ht="22.25" customHeight="1">
      <c r="A595" s="181">
        <f t="shared" si="207"/>
        <v>45292</v>
      </c>
      <c r="B595" s="484">
        <f>YEAR($A596)-1</f>
        <v>2023</v>
      </c>
      <c r="C595" s="489" t="s">
        <v>158</v>
      </c>
      <c r="D595" s="520" t="e">
        <f>D593+1</f>
        <v>#NUM!</v>
      </c>
      <c r="E595" s="194" t="e">
        <f>DATE(YEAR(E594),MONTH(E594),DAY(E594)+1)</f>
        <v>#NUM!</v>
      </c>
      <c r="F595" s="195" t="e">
        <f t="shared" si="209"/>
        <v>#NUM!</v>
      </c>
      <c r="G595" s="196" t="e">
        <f t="shared" si="210"/>
        <v>#NUM!</v>
      </c>
      <c r="H595" s="195" t="e">
        <f t="shared" si="211"/>
        <v>#NUM!</v>
      </c>
      <c r="I595" s="197">
        <f>IF(J597&lt;13,J597,"")</f>
        <v>9</v>
      </c>
      <c r="J595" s="224">
        <f>G590</f>
        <v>0</v>
      </c>
      <c r="K595" s="501" t="str">
        <f t="shared" si="208"/>
        <v/>
      </c>
      <c r="L595" s="471"/>
      <c r="M595" s="473" t="e">
        <f ca="1">SUM(J590-E596)&amp;" Tage"</f>
        <v>#NUM!</v>
      </c>
      <c r="N595" s="200"/>
      <c r="O595" s="201"/>
      <c r="P595" s="201"/>
      <c r="Q595" s="202"/>
      <c r="R595" s="189"/>
      <c r="S595" s="203"/>
      <c r="T595" s="203"/>
      <c r="U595" s="204"/>
      <c r="V595" s="192"/>
      <c r="W595" s="203"/>
      <c r="X595" s="203"/>
      <c r="Y595" s="204"/>
      <c r="Z595" s="192"/>
      <c r="AA595" s="203"/>
      <c r="AB595" s="203"/>
      <c r="AC595" s="204"/>
      <c r="AD595" s="192"/>
      <c r="AE595" s="203"/>
      <c r="AF595" s="203"/>
      <c r="AG595" s="204"/>
      <c r="AH595" s="193"/>
      <c r="AI595" s="203"/>
      <c r="AJ595" s="203"/>
      <c r="AK595" s="375"/>
      <c r="AL595" s="348"/>
      <c r="AM595" s="354"/>
      <c r="AN595" s="354"/>
      <c r="AO595" s="354"/>
      <c r="AP595" s="354"/>
      <c r="AQ595" s="350"/>
      <c r="AR595" s="769"/>
      <c r="AS595" s="769"/>
      <c r="AT595" s="769"/>
      <c r="BM595" s="335"/>
    </row>
    <row r="596" spans="1:65" ht="22.25" customHeight="1">
      <c r="A596" s="181">
        <f t="shared" si="207"/>
        <v>45292</v>
      </c>
      <c r="B596" s="485"/>
      <c r="C596" s="490"/>
      <c r="D596" s="521"/>
      <c r="E596" s="194" t="e">
        <f>DATE(YEAR(E595),MONTH(E595)+3,DAY(E595)-1)</f>
        <v>#NUM!</v>
      </c>
      <c r="F596" s="195" t="e">
        <f t="shared" si="209"/>
        <v>#NUM!</v>
      </c>
      <c r="G596" s="196" t="e">
        <f t="shared" si="210"/>
        <v>#NUM!</v>
      </c>
      <c r="H596" s="195" t="e">
        <f t="shared" si="211"/>
        <v>#NUM!</v>
      </c>
      <c r="I596" s="244">
        <f>IF(J598&lt;13,J598,"")</f>
        <v>6</v>
      </c>
      <c r="J596" s="224">
        <f>J595+3</f>
        <v>3</v>
      </c>
      <c r="K596" s="506" t="str">
        <f t="shared" si="208"/>
        <v>+Inflat.-P</v>
      </c>
      <c r="L596" s="511" t="e">
        <f>IF(M589="Stufe A",IF(AND(L590="Auswahl treffen",D595&gt;=0,D595&lt;=1000),J589,IF(AND(L590="Vermögend und ambulant",D595&gt;8,D595&lt;=1000),130,IF(AND(L590="Vermögend und ambulant",D595&gt;4,D595&lt;=8),158,IF(AND(L590="Vermögend und ambulant",D595&gt;2,D595&lt;=4),192,IF(AND(L590="Vermögend und ambulant",D595&gt;1,D595&lt;=2),208,IF(AND(L590="Vermögend und ambulant",D595&gt;0,D595&lt;=1),298,IF(AND(L590="Vermögend und stationär",D595&gt;8,D595&lt;=1000),78,IF(AND(L590="Vermögend und stationär",D595&gt;4,D595&lt;=8),91,IF(AND(L590="Vermögend und stationär",D595&gt;2,D595&lt;=4),140,IF(AND(L590="Vermögend und stationär",D595&gt;1,D595&lt;=2),158,IF(AND(L590="Vermögend und stationär",D595&gt;0,D595&lt;=1),200,IF(AND(L590="Mittellos und ambulant",D595&gt;8,D595&lt;=1000),105,IF(AND(L590="Mittellos und ambulant",D595&gt;4,D595&lt;=8),122,IF(AND(L590="Mittellos und ambulant",D595&gt;2,D595&lt;=4),151,IF(AND(L590="Mittellos und ambulant",D595&gt;1,D595&lt;=2),170,IF(AND(L590="Mittellos und ambulant",D595&gt;0,D595&lt;=1),208,IF(AND(L590="Mittellos und stationär",D595&gt;8,D595&lt;=1000),62,IF(AND(L590="Mittellos und stationär",D595&gt;4,D595&lt;=8),87,IF(AND(L590="Mittellos und stationär",D595&gt;2,D595&lt;=4),124,IF(AND(L590="Mittellos und stationär",D595&gt;1,D595&lt;=2),129,IF(AND(L590="Mittellos und stationär",D595&gt;0,D595&lt;=1),194,""))))))))))))))))))))),IF(M589="Stufe B",IF(AND(L590="Auswahl treffen",D595&gt;=0,D595&lt;=1000),J589,IF(AND(L590="Vermögend und ambulant",D595&gt;8,D595&lt;=1000),161,IF(AND(L590="Vermögend und ambulant",D595&gt;4,D595&lt;=8),196,IF(AND(L590="Vermögend und ambulant",D595&gt;2,D595&lt;=4),238,IF(AND(L590="Vermögend und ambulant",D595&gt;1,D595&lt;=2),258,IF(AND(L590="Vermögend und ambulant",D595&gt;0,D595&lt;=1),370,IF(AND(L590="Vermögend und stationär",D595&gt;8,D595&lt;=1000),96,IF(AND(L590="Vermögend und stationär",D595&gt;4,D595&lt;=8),113,IF(AND(L590="Vermögend und stationär",D595&gt;2,D595&lt;=4),174,IF(AND(L590="Vermögend und stationär",D595&gt;1,D595&lt;=2),196,IF(AND(L590="Vermögend und stationär",D595&gt;0,D595&lt;=1),249,IF(AND(L590="Mittellos und ambulant",D595&gt;8,D595&lt;=1000),130,IF(AND(L590="Mittellos und ambulant",D595&gt;4,D595&lt;=8),151,IF(AND(L590="Mittellos und ambulant",D595&gt;2,D595&lt;=4),188,IF(AND(L590="Mittellos und ambulant",D595&gt;1,D595&lt;=2),211,IF(AND(L590="Mittellos und ambulant",D595&gt;0,D595&lt;=1),258,IF(AND(L590="Mittellos und stationär",D595&gt;8,D595&lt;=1000),78,IF(AND(L590="Mittellos und stationär",D595&gt;4,D595&lt;=8),107,IF(AND(L590="Mittellos und stationär",D595&gt;2,D595&lt;=4),154,IF(AND(L590="Mittellos und stationär",D595&gt;1,D595&lt;=2),158,IF(AND(L590="Mittellos und stationär",D595&gt;0,D595&lt;=1),241,""))))))))))))))))))))),IF(M589="Stufe C",IF(AND(L590="Auswahl treffen",D595&gt;=0,D595&lt;=1000),J589,IF(AND(L590="Vermögend und ambulant",D595&gt;8,D595&lt;=1000),211,IF(AND(L590="Vermögend und ambulant",D595&gt;4,D595&lt;=8),257,IF(AND(L590="Vermögend und ambulant",D595&gt;2,D595&lt;=4),312,IF(AND(L590="Vermögend und ambulant",D595&gt;1,D595&lt;=2),339,IF(AND(L590="Vermögend und ambulant",D595&gt;0,D595&lt;=1),486,IF(AND(L590="Vermögend und stationär",D595&gt;8,D595&lt;=1000),127,IF(AND(L590="Vermögend und stationär",D595&gt;4,D595&lt;=8),149,IF(AND(L590="Vermögend und stationär",D595&gt;2,D595&lt;=4),229,IF(AND(L590="Vermögend und stationär",D595&gt;1,D595&lt;=2),257,IF(AND(L590="Vermögend und stationär",D595&gt;0,D595&lt;=1),327,IF(AND(L590="Mittellos und ambulant",D595&gt;8,D595&lt;=1000),171,IF(AND(L590="Mittellos und ambulant",D595&gt;4,D595&lt;=8),198,IF(AND(L590="Mittellos und ambulant",D595&gt;2,D595&lt;=4),246,IF(AND(L590="Mittellos und ambulant",D595&gt;1,D595&lt;=2),277,IF(AND(L590="Mittellos und ambulant",D595&gt;0,D595&lt;=1),339,IF(AND(L590="Mittellos und stationär",D595&gt;8,D595&lt;=1000),102,IF(AND(L590="Mittellos und stationär",D595&gt;4,D595&lt;=8),141,IF(AND(L590="Mittellos und stationär",D595&gt;2,D595&lt;=4),202,IF(AND(L590="Mittellos und stationär",D595&gt;1,D595&lt;=2),208,IF(AND(L590="Mittellos und stationär",D595&gt;0,D595&lt;=1),317,""))))))))))))))))))))),"")))*3+(J589*90)</f>
        <v>#NUM!</v>
      </c>
      <c r="M596" s="507" t="str">
        <f>CONCATENATE(K596, K595)</f>
        <v>+Inflat.-P</v>
      </c>
      <c r="N596" s="206"/>
      <c r="O596" s="207"/>
      <c r="P596" s="206" t="s">
        <v>118</v>
      </c>
      <c r="Q596" s="226"/>
      <c r="R596" s="189"/>
      <c r="S596" s="203"/>
      <c r="T596" s="203"/>
      <c r="U596" s="204"/>
      <c r="V596" s="192"/>
      <c r="W596" s="203"/>
      <c r="X596" s="203"/>
      <c r="Y596" s="204"/>
      <c r="Z596" s="192"/>
      <c r="AA596" s="209" t="s">
        <v>118</v>
      </c>
      <c r="AB596" s="209" t="s">
        <v>117</v>
      </c>
      <c r="AC596" s="204" t="s">
        <v>26</v>
      </c>
      <c r="AD596" s="192"/>
      <c r="AE596" s="203"/>
      <c r="AF596" s="203"/>
      <c r="AG596" s="204"/>
      <c r="AH596" s="193"/>
      <c r="AI596" s="203"/>
      <c r="AJ596" s="203"/>
      <c r="AK596" s="375"/>
      <c r="AL596" s="348" t="s">
        <v>150</v>
      </c>
      <c r="AM596" s="354"/>
      <c r="AN596" s="354"/>
      <c r="AO596" s="354">
        <f>IF(SUM(P590:P598)=SUM(AA590:AA598), 0, SUM(P590:P598)-SUM(AA590:AA598))</f>
        <v>0</v>
      </c>
      <c r="AP596" s="354"/>
      <c r="AQ596" s="350">
        <f>AM596+AN596+AO596+AP596</f>
        <v>0</v>
      </c>
      <c r="AR596" s="769"/>
      <c r="AS596" s="769"/>
      <c r="AT596" s="769"/>
      <c r="BM596" s="335"/>
    </row>
    <row r="597" spans="1:65" ht="22.25" customHeight="1">
      <c r="A597" s="181">
        <f t="shared" si="207"/>
        <v>45292</v>
      </c>
      <c r="B597" s="486"/>
      <c r="C597" s="489" t="s">
        <v>158</v>
      </c>
      <c r="D597" s="522" t="e">
        <f>D595+1</f>
        <v>#NUM!</v>
      </c>
      <c r="E597" s="211" t="e">
        <f>DATE(YEAR(E596),MONTH(E596),DAY(E596)+1)</f>
        <v>#NUM!</v>
      </c>
      <c r="F597" s="227" t="e">
        <f t="shared" si="209"/>
        <v>#NUM!</v>
      </c>
      <c r="G597" s="228" t="e">
        <f t="shared" si="210"/>
        <v>#NUM!</v>
      </c>
      <c r="H597" s="227" t="e">
        <f t="shared" si="211"/>
        <v>#NUM!</v>
      </c>
      <c r="I597" s="231">
        <f>IF(J596&lt;13,J596,"")</f>
        <v>3</v>
      </c>
      <c r="J597" s="230">
        <f>J598+3</f>
        <v>9</v>
      </c>
      <c r="K597" s="501" t="str">
        <f t="shared" si="208"/>
        <v/>
      </c>
      <c r="L597" s="471"/>
      <c r="M597" s="473" t="e">
        <f ca="1">SUM(J590-E598)&amp;" Tage"</f>
        <v>#NUM!</v>
      </c>
      <c r="N597" s="216"/>
      <c r="O597" s="188"/>
      <c r="P597" s="188"/>
      <c r="Q597" s="217"/>
      <c r="R597" s="189"/>
      <c r="S597" s="190"/>
      <c r="T597" s="190"/>
      <c r="U597" s="191"/>
      <c r="V597" s="192"/>
      <c r="W597" s="190"/>
      <c r="X597" s="190"/>
      <c r="Y597" s="191"/>
      <c r="Z597" s="192"/>
      <c r="AA597" s="190"/>
      <c r="AB597" s="190"/>
      <c r="AC597" s="191"/>
      <c r="AD597" s="192"/>
      <c r="AE597" s="190"/>
      <c r="AF597" s="190"/>
      <c r="AG597" s="191"/>
      <c r="AH597" s="193"/>
      <c r="AI597" s="190"/>
      <c r="AJ597" s="190"/>
      <c r="AK597" s="374"/>
      <c r="AL597" s="348"/>
      <c r="AM597" s="354"/>
      <c r="AN597" s="354"/>
      <c r="AO597" s="354"/>
      <c r="AP597" s="354"/>
      <c r="AQ597" s="350"/>
      <c r="AR597" s="769"/>
      <c r="AS597" s="769"/>
      <c r="AT597" s="769"/>
      <c r="BM597" s="335"/>
    </row>
    <row r="598" spans="1:65" ht="22.25" customHeight="1">
      <c r="A598" s="181">
        <f t="shared" si="207"/>
        <v>45292</v>
      </c>
      <c r="B598" s="485"/>
      <c r="C598" s="490"/>
      <c r="D598" s="521"/>
      <c r="E598" s="218" t="e">
        <f>DATE(YEAR(E597),MONTH(E597)+3,DAY(E597)-1)</f>
        <v>#NUM!</v>
      </c>
      <c r="F598" s="227" t="e">
        <f t="shared" si="209"/>
        <v>#NUM!</v>
      </c>
      <c r="G598" s="228" t="e">
        <f t="shared" si="210"/>
        <v>#NUM!</v>
      </c>
      <c r="H598" s="227" t="e">
        <f t="shared" si="211"/>
        <v>#NUM!</v>
      </c>
      <c r="I598" s="231">
        <f>IF(J595&lt;13,J595,"")</f>
        <v>0</v>
      </c>
      <c r="J598" s="230">
        <f>J596+3</f>
        <v>6</v>
      </c>
      <c r="K598" s="506" t="str">
        <f t="shared" si="208"/>
        <v>+Inflat.-P</v>
      </c>
      <c r="L598" s="508" t="e">
        <f>IF(M589="Stufe A",IF(AND(L590="Auswahl treffen",D597&gt;=0,D597&lt;=1000),J589,IF(AND(L590="Vermögend und ambulant",D597&gt;8,D597&lt;=1000),130,IF(AND(L590="Vermögend und ambulant",D597&gt;4,D597&lt;=8),158,IF(AND(L590="Vermögend und ambulant",D597&gt;2,D597&lt;=4),192,IF(AND(L590="Vermögend und ambulant",D597&gt;1,D597&lt;=2),208,IF(AND(L590="Vermögend und ambulant",D597&gt;0,D597&lt;=1),298,IF(AND(L590="Vermögend und stationär",D597&gt;8,D597&lt;=1000),78,IF(AND(L590="Vermögend und stationär",D597&gt;4,D597&lt;=8),91,IF(AND(L590="Vermögend und stationär",D597&gt;2,D597&lt;=4),140,IF(AND(L590="Vermögend und stationär",D597&gt;1,D597&lt;=2),158,IF(AND(L590="Vermögend und stationär",D597&gt;0,D597&lt;=1),200,IF(AND(L590="Mittellos und ambulant",D597&gt;8,D597&lt;=1000),105,IF(AND(L590="Mittellos und ambulant",D597&gt;4,D597&lt;=8),122,IF(AND(L590="Mittellos und ambulant",D597&gt;2,D597&lt;=4),151,IF(AND(L590="Mittellos und ambulant",D597&gt;1,D597&lt;=2),170,IF(AND(L590="Mittellos und ambulant",D597&gt;0,D597&lt;=1),208,IF(AND(L590="Mittellos und stationär",D597&gt;8,D597&lt;=1000),62,IF(AND(L590="Mittellos und stationär",D597&gt;4,D597&lt;=8),87,IF(AND(L590="Mittellos und stationär",D597&gt;2,D597&lt;=4),124,IF(AND(L590="Mittellos und stationär",D597&gt;1,D597&lt;=2),129,IF(AND(L590="Mittellos und stationär",D597&gt;0,D597&lt;=1),194,""))))))))))))))))))))),IF(M589="Stufe B",IF(AND(L590="Auswahl treffen",D597&gt;=0,D597&lt;=1000),J589,IF(AND(L590="Vermögend und ambulant",D597&gt;8,D597&lt;=1000),161,IF(AND(L590="Vermögend und ambulant",D597&gt;4,D597&lt;=8),196,IF(AND(L590="Vermögend und ambulant",D597&gt;2,D597&lt;=4),238,IF(AND(L590="Vermögend und ambulant",D597&gt;1,D597&lt;=2),258,IF(AND(L590="Vermögend und ambulant",D597&gt;0,D597&lt;=1),370,IF(AND(L590="Vermögend und stationär",D597&gt;8,D597&lt;=1000),96,IF(AND(L590="Vermögend und stationär",D597&gt;4,D597&lt;=8),113,IF(AND(L590="Vermögend und stationär",D597&gt;2,D597&lt;=4),174,IF(AND(L590="Vermögend und stationär",D597&gt;1,D597&lt;=2),196,IF(AND(L590="Vermögend und stationär",D597&gt;0,D597&lt;=1),249,IF(AND(L590="Mittellos und ambulant",D597&gt;8,D597&lt;=1000),130,IF(AND(L590="Mittellos und ambulant",D597&gt;4,D597&lt;=8),151,IF(AND(L590="Mittellos und ambulant",D597&gt;2,D597&lt;=4),188,IF(AND(L590="Mittellos und ambulant",D597&gt;1,D597&lt;=2),211,IF(AND(L590="Mittellos und ambulant",D597&gt;0,D597&lt;=1),258,IF(AND(L590="Mittellos und stationär",D597&gt;8,D597&lt;=1000),78,IF(AND(L590="Mittellos und stationär",D597&gt;4,D597&lt;=8),107,IF(AND(L590="Mittellos und stationär",D597&gt;2,D597&lt;=4),154,IF(AND(L590="Mittellos und stationär",D597&gt;1,D597&lt;=2),158,IF(AND(L590="Mittellos und stationär",D597&gt;0,D597&lt;=1),241,""))))))))))))))))))))),IF(M589="Stufe C",IF(AND(L590="Auswahl treffen",D597&gt;=0,D597&lt;=1000),J589,IF(AND(L590="Vermögend und ambulant",D597&gt;8,D597&lt;=1000),211,IF(AND(L590="Vermögend und ambulant",D597&gt;4,D597&lt;=8),257,IF(AND(L590="Vermögend und ambulant",D597&gt;2,D597&lt;=4),312,IF(AND(L590="Vermögend und ambulant",D597&gt;1,D597&lt;=2),339,IF(AND(L590="Vermögend und ambulant",D597&gt;0,D597&lt;=1),486,IF(AND(L590="Vermögend und stationär",D597&gt;8,D597&lt;=1000),127,IF(AND(L590="Vermögend und stationär",D597&gt;4,D597&lt;=8),149,IF(AND(L590="Vermögend und stationär",D597&gt;2,D597&lt;=4),229,IF(AND(L590="Vermögend und stationär",D597&gt;1,D597&lt;=2),257,IF(AND(L590="Vermögend und stationär",D597&gt;0,D597&lt;=1),327,IF(AND(L590="Mittellos und ambulant",D597&gt;8,D597&lt;=1000),171,IF(AND(L590="Mittellos und ambulant",D597&gt;4,D597&lt;=8),198,IF(AND(L590="Mittellos und ambulant",D597&gt;2,D597&lt;=4),246,IF(AND(L590="Mittellos und ambulant",D597&gt;1,D597&lt;=2),277,IF(AND(L590="Mittellos und ambulant",D597&gt;0,D597&lt;=1),339,IF(AND(L590="Mittellos und stationär",D597&gt;8,D597&lt;=1000),102,IF(AND(L590="Mittellos und stationär",D597&gt;4,D597&lt;=8),141,IF(AND(L590="Mittellos und stationär",D597&gt;2,D597&lt;=4),202,IF(AND(L590="Mittellos und stationär",D597&gt;1,D597&lt;=2),208,IF(AND(L590="Mittellos und stationär",D597&gt;0,D597&lt;=1),317,""))))))))))))))))))))),"")))*3+(J589*90)</f>
        <v>#NUM!</v>
      </c>
      <c r="M598" s="507" t="str">
        <f>CONCATENATE(K598, K597)</f>
        <v>+Inflat.-P</v>
      </c>
      <c r="N598" s="216"/>
      <c r="O598" s="188"/>
      <c r="P598" s="188"/>
      <c r="Q598" s="217" t="s">
        <v>118</v>
      </c>
      <c r="R598" s="189"/>
      <c r="S598" s="190"/>
      <c r="T598" s="190"/>
      <c r="U598" s="191"/>
      <c r="V598" s="192"/>
      <c r="W598" s="190"/>
      <c r="X598" s="190"/>
      <c r="Y598" s="191"/>
      <c r="Z598" s="192"/>
      <c r="AA598" s="190"/>
      <c r="AB598" s="190"/>
      <c r="AC598" s="191"/>
      <c r="AD598" s="192"/>
      <c r="AE598" s="190" t="s">
        <v>118</v>
      </c>
      <c r="AF598" s="190" t="s">
        <v>117</v>
      </c>
      <c r="AG598" s="191" t="s">
        <v>26</v>
      </c>
      <c r="AH598" s="193"/>
      <c r="AI598" s="190" t="s">
        <v>118</v>
      </c>
      <c r="AJ598" s="190" t="s">
        <v>117</v>
      </c>
      <c r="AK598" s="374" t="s">
        <v>26</v>
      </c>
      <c r="AL598" s="348" t="s">
        <v>151</v>
      </c>
      <c r="AM598" s="354"/>
      <c r="AN598" s="354"/>
      <c r="AO598" s="354"/>
      <c r="AP598" s="354">
        <f>IF(SUM(Q590:Q598)=SUM(AE590:AE598,AI590:AI598), 0, SUM(Q590:Q598)-SUM(AE590:AE598,AI590:AI598))</f>
        <v>0</v>
      </c>
      <c r="AQ598" s="350">
        <f>AM598+AN598+AO598+AP598</f>
        <v>0</v>
      </c>
      <c r="AR598" s="769"/>
      <c r="AS598" s="769"/>
      <c r="AT598" s="769"/>
      <c r="BM598" s="335"/>
    </row>
    <row r="599" spans="1:65" ht="22" customHeight="1">
      <c r="A599" s="181">
        <f t="shared" si="207"/>
        <v>45292</v>
      </c>
      <c r="B599" s="232" t="s">
        <v>74</v>
      </c>
      <c r="C599" s="233" t="s">
        <v>75</v>
      </c>
      <c r="D599" s="234" t="s">
        <v>76</v>
      </c>
      <c r="E599" s="235" t="s">
        <v>11</v>
      </c>
      <c r="F599" s="235" t="s">
        <v>4</v>
      </c>
      <c r="G599" s="235" t="s">
        <v>5</v>
      </c>
      <c r="H599" s="235" t="s">
        <v>6</v>
      </c>
      <c r="I599" s="236" t="s">
        <v>77</v>
      </c>
      <c r="J599" s="306"/>
      <c r="K599" s="501" t="str">
        <f t="shared" si="208"/>
        <v/>
      </c>
      <c r="L599" s="306" t="str">
        <f>IFERROR(VLOOKUP(B600,'Aktuelle Einnahmen'!A2:J104,10,0),"")</f>
        <v/>
      </c>
      <c r="M599" s="510" t="str">
        <f>M589</f>
        <v>Stufe C</v>
      </c>
      <c r="N599" s="237"/>
      <c r="O599" s="238"/>
      <c r="P599" s="238"/>
      <c r="Q599" s="239"/>
      <c r="R599" s="240"/>
      <c r="S599" s="241"/>
      <c r="T599" s="241"/>
      <c r="U599" s="242"/>
      <c r="V599" s="243"/>
      <c r="W599" s="241"/>
      <c r="X599" s="241"/>
      <c r="Y599" s="242"/>
      <c r="Z599" s="243"/>
      <c r="AA599" s="241"/>
      <c r="AB599" s="241"/>
      <c r="AC599" s="242"/>
      <c r="AD599" s="243"/>
      <c r="AE599" s="241"/>
      <c r="AF599" s="241"/>
      <c r="AG599" s="242"/>
      <c r="AH599" s="240"/>
      <c r="AI599" s="241"/>
      <c r="AJ599" s="241"/>
      <c r="AK599" s="377"/>
      <c r="AL599" s="347"/>
      <c r="AM599" s="353"/>
      <c r="AN599" s="353"/>
      <c r="AO599" s="353"/>
      <c r="AP599" s="353"/>
      <c r="AQ599" s="349"/>
      <c r="AR599" s="768"/>
      <c r="AS599" s="768"/>
      <c r="AT599" s="768"/>
      <c r="BM599" s="335"/>
    </row>
    <row r="600" spans="1:65" ht="23" customHeight="1">
      <c r="A600" s="181">
        <f t="shared" si="207"/>
        <v>45292</v>
      </c>
      <c r="B600" s="182">
        <v>60</v>
      </c>
      <c r="C600" s="245">
        <f>IFERROR(VLOOKUP($B600,'Aktuelle Einnahmen'!A2:G104,3,0),"")</f>
        <v>0</v>
      </c>
      <c r="D600" s="246">
        <f>IFERROR(VLOOKUP($B600,'Aktuelle Einnahmen'!A2:G104,2,0),"")</f>
        <v>0</v>
      </c>
      <c r="E600" s="247">
        <f>IFERROR(VLOOKUP($B600,'Aktuelle Einnahmen'!A2:G104,4,0),"")</f>
        <v>0</v>
      </c>
      <c r="F600" s="94">
        <f>IFERROR(VLOOKUP($B600,'Aktuelle Einnahmen'!A2:G104,5,0),"")</f>
        <v>0</v>
      </c>
      <c r="G600" s="94">
        <f>IFERROR(VLOOKUP($B600,'Aktuelle Einnahmen'!A2:G104,6,0),"")</f>
        <v>0</v>
      </c>
      <c r="H600" s="94">
        <f>IFERROR(VLOOKUP($B600,'Aktuelle Einnahmen'!A2:G104,7,0),"")</f>
        <v>0</v>
      </c>
      <c r="I600" s="186" t="e">
        <f>DATE(H600,G600,F600)</f>
        <v>#NUM!</v>
      </c>
      <c r="J600" s="472">
        <f ca="1">J590</f>
        <v>45475</v>
      </c>
      <c r="K600" s="501" t="str">
        <f t="shared" si="208"/>
        <v>+Inflat.-P</v>
      </c>
      <c r="L600" s="1262" t="str">
        <f>IFERROR(VLOOKUP(B600,'Aktuelle Einnahmen'!A22:I124,9,0),"")</f>
        <v>Auswahl treffen</v>
      </c>
      <c r="M600" s="1263"/>
      <c r="N600" s="261"/>
      <c r="O600" s="261"/>
      <c r="P600" s="261"/>
      <c r="Q600" s="261"/>
      <c r="R600" s="189"/>
      <c r="S600" s="190"/>
      <c r="T600" s="190"/>
      <c r="U600" s="191"/>
      <c r="V600" s="192"/>
      <c r="W600" s="190"/>
      <c r="X600" s="190"/>
      <c r="Y600" s="191"/>
      <c r="Z600" s="192"/>
      <c r="AA600" s="190"/>
      <c r="AB600" s="190"/>
      <c r="AC600" s="191"/>
      <c r="AD600" s="192"/>
      <c r="AE600" s="190"/>
      <c r="AF600" s="190"/>
      <c r="AG600" s="191"/>
      <c r="AH600" s="193"/>
      <c r="AI600" s="190"/>
      <c r="AJ600" s="190"/>
      <c r="AK600" s="374"/>
      <c r="AL600" s="348"/>
      <c r="AM600" s="354"/>
      <c r="AN600" s="354"/>
      <c r="AO600" s="354"/>
      <c r="AP600" s="354"/>
      <c r="AQ600" s="350"/>
      <c r="AR600" s="769"/>
      <c r="AS600" s="769"/>
      <c r="AT600" s="769"/>
      <c r="BM600" s="335"/>
    </row>
    <row r="601" spans="1:65" ht="22.25" customHeight="1">
      <c r="A601" s="181">
        <f t="shared" si="207"/>
        <v>45292</v>
      </c>
      <c r="B601" s="484" t="e">
        <f>DAY(I600)</f>
        <v>#NUM!</v>
      </c>
      <c r="C601" s="489" t="s">
        <v>158</v>
      </c>
      <c r="D601" s="520" t="e">
        <f>(I601*4)+J601/3+1</f>
        <v>#NUM!</v>
      </c>
      <c r="E601" s="194" t="e">
        <f>J603+1</f>
        <v>#NUM!</v>
      </c>
      <c r="F601" s="195" t="e">
        <f t="shared" ref="F601:F608" si="212">DAY(E601)</f>
        <v>#NUM!</v>
      </c>
      <c r="G601" s="196" t="e">
        <f t="shared" ref="G601:G608" si="213">MONTH(E601)</f>
        <v>#NUM!</v>
      </c>
      <c r="H601" s="195" t="e">
        <f t="shared" ref="H601:H608" si="214">YEAR(E601)</f>
        <v>#NUM!</v>
      </c>
      <c r="I601" s="197" t="e">
        <f>H601-(H600+2000)</f>
        <v>#NUM!</v>
      </c>
      <c r="J601" s="198" t="e">
        <f>G601-G600</f>
        <v>#NUM!</v>
      </c>
      <c r="K601" s="506" t="str">
        <f>L599</f>
        <v/>
      </c>
      <c r="L601" s="469"/>
      <c r="M601" s="473" t="e">
        <f ca="1">SUM(J600-E602)&amp;" Tage"</f>
        <v>#NUM!</v>
      </c>
      <c r="N601" s="206"/>
      <c r="O601" s="201"/>
      <c r="P601" s="201"/>
      <c r="Q601" s="202"/>
      <c r="R601" s="189"/>
      <c r="S601" s="203"/>
      <c r="T601" s="203"/>
      <c r="U601" s="204"/>
      <c r="V601" s="192"/>
      <c r="W601" s="203"/>
      <c r="X601" s="203"/>
      <c r="Y601" s="204"/>
      <c r="Z601" s="192"/>
      <c r="AA601" s="203"/>
      <c r="AB601" s="203"/>
      <c r="AC601" s="204"/>
      <c r="AD601" s="192"/>
      <c r="AE601" s="203"/>
      <c r="AF601" s="203"/>
      <c r="AG601" s="204"/>
      <c r="AH601" s="193"/>
      <c r="AI601" s="203"/>
      <c r="AJ601" s="203"/>
      <c r="AK601" s="375"/>
      <c r="AL601" s="348"/>
      <c r="AM601" s="354"/>
      <c r="AN601" s="354"/>
      <c r="AO601" s="354"/>
      <c r="AP601" s="354"/>
      <c r="AQ601" s="350"/>
      <c r="AR601" s="769"/>
      <c r="AS601" s="769"/>
      <c r="AT601" s="769"/>
      <c r="BM601" s="335"/>
    </row>
    <row r="602" spans="1:65" ht="22.25" customHeight="1">
      <c r="A602" s="181">
        <f t="shared" si="207"/>
        <v>45292</v>
      </c>
      <c r="B602" s="485"/>
      <c r="C602" s="490"/>
      <c r="D602" s="521"/>
      <c r="E602" s="194" t="e">
        <f>DATE(YEAR(E601),MONTH(E601)+3,DAY(E601)-1)</f>
        <v>#NUM!</v>
      </c>
      <c r="F602" s="195" t="e">
        <f t="shared" si="212"/>
        <v>#NUM!</v>
      </c>
      <c r="G602" s="196" t="e">
        <f t="shared" si="213"/>
        <v>#NUM!</v>
      </c>
      <c r="H602" s="195" t="e">
        <f t="shared" si="214"/>
        <v>#NUM!</v>
      </c>
      <c r="I602" s="244">
        <v>-1</v>
      </c>
      <c r="J602" s="198" t="e">
        <f>F601-F600</f>
        <v>#NUM!</v>
      </c>
      <c r="K602" s="501" t="str">
        <f t="shared" si="208"/>
        <v>+Inflat.-P</v>
      </c>
      <c r="L602" s="511" t="e">
        <f>IF(M599="Stufe A",IF(AND(L600="Auswahl treffen",D601&gt;=0,D601&lt;=1000),J599,IF(AND(L600="Vermögend und ambulant",D601&gt;8,D601&lt;=1000),130,IF(AND(L600="Vermögend und ambulant",D601&gt;4,D601&lt;=8),158,IF(AND(L600="Vermögend und ambulant",D601&gt;2,D601&lt;=4),192,IF(AND(L600="Vermögend und ambulant",D601&gt;1,D601&lt;=2),208,IF(AND(L600="Vermögend und ambulant",D601&gt;0,D601&lt;=1),298,IF(AND(L600="Vermögend und stationär",D601&gt;8,D601&lt;=1000),78,IF(AND(L600="Vermögend und stationär",D601&gt;4,D601&lt;=8),91,IF(AND(L600="Vermögend und stationär",D601&gt;2,D601&lt;=4),140,IF(AND(L600="Vermögend und stationär",D601&gt;1,D601&lt;=2),158,IF(AND(L600="Vermögend und stationär",D601&gt;0,D601&lt;=1),200,IF(AND(L600="Mittellos und ambulant",D601&gt;8,D601&lt;=1000),105,IF(AND(L600="Mittellos und ambulant",D601&gt;4,D601&lt;=8),122,IF(AND(L600="Mittellos und ambulant",D601&gt;2,D601&lt;=4),151,IF(AND(L600="Mittellos und ambulant",D601&gt;1,D601&lt;=2),170,IF(AND(L600="Mittellos und ambulant",D601&gt;0,D601&lt;=1),208,IF(AND(L600="Mittellos und stationär",D601&gt;8,D601&lt;=1000),62,IF(AND(L600="Mittellos und stationär",D601&gt;4,D601&lt;=8),87,IF(AND(L600="Mittellos und stationär",D601&gt;2,D601&lt;=4),124,IF(AND(L600="Mittellos und stationär",D601&gt;1,D601&lt;=2),129,IF(AND(L600="Mittellos und stationär",D601&gt;0,D601&lt;=1),194,""))))))))))))))))))))),IF(M599="Stufe B",IF(AND(L600="Auswahl treffen",D601&gt;=0,D601&lt;=1000),J599,IF(AND(L600="Vermögend und ambulant",D601&gt;8,D601&lt;=1000),161,IF(AND(L600="Vermögend und ambulant",D601&gt;4,D601&lt;=8),196,IF(AND(L600="Vermögend und ambulant",D601&gt;2,D601&lt;=4),238,IF(AND(L600="Vermögend und ambulant",D601&gt;1,D601&lt;=2),258,IF(AND(L600="Vermögend und ambulant",D601&gt;0,D601&lt;=1),370,IF(AND(L600="Vermögend und stationär",D601&gt;8,D601&lt;=1000),96,IF(AND(L600="Vermögend und stationär",D601&gt;4,D601&lt;=8),113,IF(AND(L600="Vermögend und stationär",D601&gt;2,D601&lt;=4),174,IF(AND(L600="Vermögend und stationär",D601&gt;1,D601&lt;=2),196,IF(AND(L600="Vermögend und stationär",D601&gt;0,D601&lt;=1),249,IF(AND(L600="Mittellos und ambulant",D601&gt;8,D601&lt;=1000),130,IF(AND(L600="Mittellos und ambulant",D601&gt;4,D601&lt;=8),151,IF(AND(L600="Mittellos und ambulant",D601&gt;2,D601&lt;=4),188,IF(AND(L600="Mittellos und ambulant",D601&gt;1,D601&lt;=2),211,IF(AND(L600="Mittellos und ambulant",D601&gt;0,D601&lt;=1),258,IF(AND(L600="Mittellos und stationär",D601&gt;8,D601&lt;=1000),78,IF(AND(L600="Mittellos und stationär",D601&gt;4,D601&lt;=8),107,IF(AND(L600="Mittellos und stationär",D601&gt;2,D601&lt;=4),154,IF(AND(L600="Mittellos und stationär",D601&gt;1,D601&lt;=2),158,IF(AND(L600="Mittellos und stationär",D601&gt;0,D601&lt;=1),241,""))))))))))))))))))))),IF(M599="Stufe C",IF(AND(L600="Auswahl treffen",D601&gt;=0,D601&lt;=1000),J599,IF(AND(L600="Vermögend und ambulant",D601&gt;8,D601&lt;=1000),211,IF(AND(L600="Vermögend und ambulant",D601&gt;4,D601&lt;=8),257,IF(AND(L600="Vermögend und ambulant",D601&gt;2,D601&lt;=4),312,IF(AND(L600="Vermögend und ambulant",D601&gt;1,D601&lt;=2),339,IF(AND(L600="Vermögend und ambulant",D601&gt;0,D601&lt;=1),486,IF(AND(L600="Vermögend und stationär",D601&gt;8,D601&lt;=1000),127,IF(AND(L600="Vermögend und stationär",D601&gt;4,D601&lt;=8),149,IF(AND(L600="Vermögend und stationär",D601&gt;2,D601&lt;=4),229,IF(AND(L600="Vermögend und stationär",D601&gt;1,D601&lt;=2),257,IF(AND(L600="Vermögend und stationär",D601&gt;0,D601&lt;=1),327,IF(AND(L600="Mittellos und ambulant",D601&gt;8,D601&lt;=1000),171,IF(AND(L600="Mittellos und ambulant",D601&gt;4,D601&lt;=8),198,IF(AND(L600="Mittellos und ambulant",D601&gt;2,D601&lt;=4),246,IF(AND(L600="Mittellos und ambulant",D601&gt;1,D601&lt;=2),277,IF(AND(L600="Mittellos und ambulant",D601&gt;0,D601&lt;=1),339,IF(AND(L600="Mittellos und stationär",D601&gt;8,D601&lt;=1000),102,IF(AND(L600="Mittellos und stationär",D601&gt;4,D601&lt;=8),141,IF(AND(L600="Mittellos und stationär",D601&gt;2,D601&lt;=4),202,IF(AND(L600="Mittellos und stationär",D601&gt;1,D601&lt;=2),208,IF(AND(L600="Mittellos und stationär",D601&gt;0,D601&lt;=1),317,""))))))))))))))))))))),"")))*3+(J599*90)</f>
        <v>#NUM!</v>
      </c>
      <c r="M602" s="507" t="str">
        <f>CONCATENATE(K602, K601)</f>
        <v>+Inflat.-P</v>
      </c>
      <c r="N602" s="206" t="s">
        <v>118</v>
      </c>
      <c r="O602" s="207"/>
      <c r="P602" s="207"/>
      <c r="Q602" s="208"/>
      <c r="R602" s="187"/>
      <c r="S602" s="209" t="s">
        <v>118</v>
      </c>
      <c r="T602" s="201" t="s">
        <v>117</v>
      </c>
      <c r="U602" s="210" t="s">
        <v>26</v>
      </c>
      <c r="V602" s="192"/>
      <c r="W602" s="203"/>
      <c r="X602" s="203"/>
      <c r="Y602" s="210"/>
      <c r="Z602" s="192"/>
      <c r="AA602" s="203"/>
      <c r="AB602" s="203"/>
      <c r="AC602" s="210"/>
      <c r="AD602" s="192"/>
      <c r="AE602" s="203"/>
      <c r="AF602" s="203"/>
      <c r="AG602" s="210"/>
      <c r="AH602" s="193"/>
      <c r="AI602" s="203"/>
      <c r="AJ602" s="203"/>
      <c r="AK602" s="376"/>
      <c r="AL602" s="348" t="s">
        <v>148</v>
      </c>
      <c r="AM602" s="354">
        <f>IF(SUM(N600:N608)=SUM(S600:S608), 0, SUM(N600:N608)-SUM(S600:S608))</f>
        <v>0</v>
      </c>
      <c r="AN602" s="354"/>
      <c r="AO602" s="354"/>
      <c r="AP602" s="354"/>
      <c r="AQ602" s="350">
        <f>AM602+AN602+AO602+AP602</f>
        <v>0</v>
      </c>
      <c r="AR602" s="769"/>
      <c r="AS602" s="769"/>
      <c r="AT602" s="769"/>
      <c r="BM602" s="335"/>
    </row>
    <row r="603" spans="1:65" ht="22.25" customHeight="1">
      <c r="A603" s="181">
        <f t="shared" si="207"/>
        <v>45292</v>
      </c>
      <c r="B603" s="484" t="e">
        <f>MONTH(I600)</f>
        <v>#NUM!</v>
      </c>
      <c r="C603" s="489" t="s">
        <v>158</v>
      </c>
      <c r="D603" s="522" t="e">
        <f>D601+1</f>
        <v>#NUM!</v>
      </c>
      <c r="E603" s="211" t="e">
        <f>DATE(YEAR(E602),MONTH(E602),DAY(E602)+1)</f>
        <v>#NUM!</v>
      </c>
      <c r="F603" s="212" t="e">
        <f t="shared" si="212"/>
        <v>#NUM!</v>
      </c>
      <c r="G603" s="213" t="e">
        <f t="shared" si="213"/>
        <v>#NUM!</v>
      </c>
      <c r="H603" s="212" t="e">
        <f t="shared" si="214"/>
        <v>#NUM!</v>
      </c>
      <c r="I603" s="214" t="str">
        <f>IF(D600&lt;&gt;0,"-1T","")</f>
        <v/>
      </c>
      <c r="J603" s="215" t="e">
        <f>DATE($B605,I604,$B601)</f>
        <v>#NUM!</v>
      </c>
      <c r="K603" s="506" t="str">
        <f t="shared" si="208"/>
        <v/>
      </c>
      <c r="L603" s="470"/>
      <c r="M603" s="473" t="e">
        <f ca="1">SUM(J600-E604)&amp;" Tage"</f>
        <v>#NUM!</v>
      </c>
      <c r="N603" s="216"/>
      <c r="O603" s="217"/>
      <c r="P603" s="188"/>
      <c r="Q603" s="217"/>
      <c r="R603" s="189"/>
      <c r="S603" s="190"/>
      <c r="T603" s="190"/>
      <c r="U603" s="191"/>
      <c r="V603" s="192"/>
      <c r="W603" s="190"/>
      <c r="X603" s="190"/>
      <c r="Y603" s="191"/>
      <c r="Z603" s="192"/>
      <c r="AA603" s="190"/>
      <c r="AB603" s="190"/>
      <c r="AC603" s="191"/>
      <c r="AD603" s="192"/>
      <c r="AE603" s="190"/>
      <c r="AF603" s="190"/>
      <c r="AG603" s="191"/>
      <c r="AH603" s="193"/>
      <c r="AI603" s="190"/>
      <c r="AJ603" s="190"/>
      <c r="AK603" s="374"/>
      <c r="AL603" s="348"/>
      <c r="AM603" s="354"/>
      <c r="AN603" s="354"/>
      <c r="AO603" s="354"/>
      <c r="AP603" s="354"/>
      <c r="AQ603" s="350"/>
      <c r="AR603" s="769"/>
      <c r="AS603" s="769"/>
      <c r="AT603" s="769"/>
      <c r="BM603" s="335"/>
    </row>
    <row r="604" spans="1:65" ht="22.25" customHeight="1">
      <c r="A604" s="181">
        <f t="shared" si="207"/>
        <v>45292</v>
      </c>
      <c r="B604" s="485"/>
      <c r="C604" s="490"/>
      <c r="D604" s="521"/>
      <c r="E604" s="218" t="e">
        <f>DATE(YEAR(E603),MONTH(E603)+3,DAY(E603)-1)</f>
        <v>#NUM!</v>
      </c>
      <c r="F604" s="212" t="e">
        <f t="shared" si="212"/>
        <v>#NUM!</v>
      </c>
      <c r="G604" s="213" t="e">
        <f t="shared" si="213"/>
        <v>#NUM!</v>
      </c>
      <c r="H604" s="212" t="e">
        <f t="shared" si="214"/>
        <v>#NUM!</v>
      </c>
      <c r="I604" s="219">
        <f>MAX(I605:I608)</f>
        <v>9</v>
      </c>
      <c r="J604" s="220" t="e">
        <f>DATE(YEAR(J603)+1,MONTH(J603),DAY(J603))</f>
        <v>#NUM!</v>
      </c>
      <c r="K604" s="501" t="str">
        <f t="shared" si="208"/>
        <v>+Inflat.-P</v>
      </c>
      <c r="L604" s="508" t="e">
        <f>IF(M599="Stufe A",IF(AND(L600="Auswahl treffen",D603&gt;=0,D603&lt;=1000),J599,IF(AND(L600="Vermögend und ambulant",D603&gt;8,D603&lt;=1000),130,IF(AND(L600="Vermögend und ambulant",D603&gt;4,D603&lt;=8),158,IF(AND(L600="Vermögend und ambulant",D603&gt;2,D603&lt;=4),192,IF(AND(L600="Vermögend und ambulant",D603&gt;1,D603&lt;=2),208,IF(AND(L600="Vermögend und ambulant",D603&gt;0,D603&lt;=1),298,IF(AND(L600="Vermögend und stationär",D603&gt;8,D603&lt;=1000),78,IF(AND(L600="Vermögend und stationär",D603&gt;4,D603&lt;=8),91,IF(AND(L600="Vermögend und stationär",D603&gt;2,D603&lt;=4),140,IF(AND(L600="Vermögend und stationär",D603&gt;1,D603&lt;=2),158,IF(AND(L600="Vermögend und stationär",D603&gt;0,D603&lt;=1),200,IF(AND(L600="Mittellos und ambulant",D603&gt;8,D603&lt;=1000),105,IF(AND(L600="Mittellos und ambulant",D603&gt;4,D603&lt;=8),122,IF(AND(L600="Mittellos und ambulant",D603&gt;2,D603&lt;=4),151,IF(AND(L600="Mittellos und ambulant",D603&gt;1,D603&lt;=2),170,IF(AND(L600="Mittellos und ambulant",D603&gt;0,D603&lt;=1),208,IF(AND(L600="Mittellos und stationär",D603&gt;8,D603&lt;=1000),62,IF(AND(L600="Mittellos und stationär",D603&gt;4,D603&lt;=8),87,IF(AND(L600="Mittellos und stationär",D603&gt;2,D603&lt;=4),124,IF(AND(L600="Mittellos und stationär",D603&gt;1,D603&lt;=2),129,IF(AND(L600="Mittellos und stationär",D603&gt;0,D603&lt;=1),194,""))))))))))))))))))))),IF(M599="Stufe B",IF(AND(L600="Auswahl treffen",D603&gt;=0,D603&lt;=1000),J599,IF(AND(L600="Vermögend und ambulant",D603&gt;8,D603&lt;=1000),161,IF(AND(L600="Vermögend und ambulant",D603&gt;4,D603&lt;=8),196,IF(AND(L600="Vermögend und ambulant",D603&gt;2,D603&lt;=4),238,IF(AND(L600="Vermögend und ambulant",D603&gt;1,D603&lt;=2),258,IF(AND(L600="Vermögend und ambulant",D603&gt;0,D603&lt;=1),370,IF(AND(L600="Vermögend und stationär",D603&gt;8,D603&lt;=1000),96,IF(AND(L600="Vermögend und stationär",D603&gt;4,D603&lt;=8),113,IF(AND(L600="Vermögend und stationär",D603&gt;2,D603&lt;=4),174,IF(AND(L600="Vermögend und stationär",D603&gt;1,D603&lt;=2),196,IF(AND(L600="Vermögend und stationär",D603&gt;0,D603&lt;=1),249,IF(AND(L600="Mittellos und ambulant",D603&gt;8,D603&lt;=1000),130,IF(AND(L600="Mittellos und ambulant",D603&gt;4,D603&lt;=8),151,IF(AND(L600="Mittellos und ambulant",D603&gt;2,D603&lt;=4),188,IF(AND(L600="Mittellos und ambulant",D603&gt;1,D603&lt;=2),211,IF(AND(L600="Mittellos und ambulant",D603&gt;0,D603&lt;=1),258,IF(AND(L600="Mittellos und stationär",D603&gt;8,D603&lt;=1000),78,IF(AND(L600="Mittellos und stationär",D603&gt;4,D603&lt;=8),107,IF(AND(L600="Mittellos und stationär",D603&gt;2,D603&lt;=4),154,IF(AND(L600="Mittellos und stationär",D603&gt;1,D603&lt;=2),158,IF(AND(L600="Mittellos und stationär",D603&gt;0,D603&lt;=1),241,""))))))))))))))))))))),IF(M599="Stufe C",IF(AND(L600="Auswahl treffen",D603&gt;=0,D603&lt;=1000),J599,IF(AND(L600="Vermögend und ambulant",D603&gt;8,D603&lt;=1000),211,IF(AND(L600="Vermögend und ambulant",D603&gt;4,D603&lt;=8),257,IF(AND(L600="Vermögend und ambulant",D603&gt;2,D603&lt;=4),312,IF(AND(L600="Vermögend und ambulant",D603&gt;1,D603&lt;=2),339,IF(AND(L600="Vermögend und ambulant",D603&gt;0,D603&lt;=1),486,IF(AND(L600="Vermögend und stationär",D603&gt;8,D603&lt;=1000),127,IF(AND(L600="Vermögend und stationär",D603&gt;4,D603&lt;=8),149,IF(AND(L600="Vermögend und stationär",D603&gt;2,D603&lt;=4),229,IF(AND(L600="Vermögend und stationär",D603&gt;1,D603&lt;=2),257,IF(AND(L600="Vermögend und stationär",D603&gt;0,D603&lt;=1),327,IF(AND(L600="Mittellos und ambulant",D603&gt;8,D603&lt;=1000),171,IF(AND(L600="Mittellos und ambulant",D603&gt;4,D603&lt;=8),198,IF(AND(L600="Mittellos und ambulant",D603&gt;2,D603&lt;=4),246,IF(AND(L600="Mittellos und ambulant",D603&gt;1,D603&lt;=2),277,IF(AND(L600="Mittellos und ambulant",D603&gt;0,D603&lt;=1),339,IF(AND(L600="Mittellos und stationär",D603&gt;8,D603&lt;=1000),102,IF(AND(L600="Mittellos und stationär",D603&gt;4,D603&lt;=8),141,IF(AND(L600="Mittellos und stationär",D603&gt;2,D603&lt;=4),202,IF(AND(L600="Mittellos und stationär",D603&gt;1,D603&lt;=2),208,IF(AND(L600="Mittellos und stationär",D603&gt;0,D603&lt;=1),317,""))))))))))))))))))))),"")))*3+(J599*90)</f>
        <v>#NUM!</v>
      </c>
      <c r="M604" s="507" t="str">
        <f>CONCATENATE(K604, K603)</f>
        <v>+Inflat.-P</v>
      </c>
      <c r="N604" s="216"/>
      <c r="O604" s="188" t="s">
        <v>118</v>
      </c>
      <c r="P604" s="188"/>
      <c r="Q604" s="221"/>
      <c r="R604" s="199"/>
      <c r="S604" s="190"/>
      <c r="T604" s="190"/>
      <c r="U604" s="191"/>
      <c r="V604" s="192"/>
      <c r="W604" s="222" t="s">
        <v>118</v>
      </c>
      <c r="X604" s="222" t="s">
        <v>117</v>
      </c>
      <c r="Y604" s="191" t="s">
        <v>26</v>
      </c>
      <c r="Z604" s="192"/>
      <c r="AA604" s="190"/>
      <c r="AB604" s="190"/>
      <c r="AC604" s="191"/>
      <c r="AD604" s="192"/>
      <c r="AE604" s="190"/>
      <c r="AF604" s="190"/>
      <c r="AG604" s="191"/>
      <c r="AH604" s="193"/>
      <c r="AI604" s="190"/>
      <c r="AJ604" s="190"/>
      <c r="AK604" s="374"/>
      <c r="AL604" s="348" t="s">
        <v>149</v>
      </c>
      <c r="AM604" s="354"/>
      <c r="AN604" s="354">
        <f>IF(SUM(O600:O608)=SUM(W600:W608), 0, SUM(O600:O608)-SUM(W600:W608))</f>
        <v>0</v>
      </c>
      <c r="AO604" s="354"/>
      <c r="AP604" s="354"/>
      <c r="AQ604" s="350">
        <f>AM604+AN604+AO604+AP604</f>
        <v>0</v>
      </c>
      <c r="AR604" s="769"/>
      <c r="AS604" s="769"/>
      <c r="AT604" s="769"/>
      <c r="BM604" s="335"/>
    </row>
    <row r="605" spans="1:65" ht="22.25" customHeight="1">
      <c r="A605" s="181">
        <f t="shared" si="207"/>
        <v>45292</v>
      </c>
      <c r="B605" s="484">
        <f>YEAR($A606)-1</f>
        <v>2023</v>
      </c>
      <c r="C605" s="489" t="s">
        <v>158</v>
      </c>
      <c r="D605" s="520" t="e">
        <f>D603+1</f>
        <v>#NUM!</v>
      </c>
      <c r="E605" s="194" t="e">
        <f>DATE(YEAR(E604),MONTH(E604),DAY(E604)+1)</f>
        <v>#NUM!</v>
      </c>
      <c r="F605" s="195" t="e">
        <f t="shared" si="212"/>
        <v>#NUM!</v>
      </c>
      <c r="G605" s="196" t="e">
        <f t="shared" si="213"/>
        <v>#NUM!</v>
      </c>
      <c r="H605" s="195" t="e">
        <f t="shared" si="214"/>
        <v>#NUM!</v>
      </c>
      <c r="I605" s="197">
        <f>IF(J607&lt;13,J607,"")</f>
        <v>9</v>
      </c>
      <c r="J605" s="224">
        <f>G600</f>
        <v>0</v>
      </c>
      <c r="K605" s="506" t="str">
        <f t="shared" si="208"/>
        <v/>
      </c>
      <c r="L605" s="471"/>
      <c r="M605" s="473" t="e">
        <f ca="1">SUM(J600-E606)&amp;" Tage"</f>
        <v>#NUM!</v>
      </c>
      <c r="N605" s="200"/>
      <c r="O605" s="201"/>
      <c r="P605" s="201"/>
      <c r="Q605" s="202"/>
      <c r="R605" s="189"/>
      <c r="S605" s="203"/>
      <c r="T605" s="203"/>
      <c r="U605" s="204"/>
      <c r="V605" s="192"/>
      <c r="W605" s="203"/>
      <c r="X605" s="203"/>
      <c r="Y605" s="204"/>
      <c r="Z605" s="192"/>
      <c r="AA605" s="203"/>
      <c r="AB605" s="203"/>
      <c r="AC605" s="204"/>
      <c r="AD605" s="192"/>
      <c r="AE605" s="203"/>
      <c r="AF605" s="203"/>
      <c r="AG605" s="204"/>
      <c r="AH605" s="193"/>
      <c r="AI605" s="203"/>
      <c r="AJ605" s="203"/>
      <c r="AK605" s="375"/>
      <c r="AL605" s="348"/>
      <c r="AM605" s="354"/>
      <c r="AN605" s="354"/>
      <c r="AO605" s="354"/>
      <c r="AP605" s="354"/>
      <c r="AQ605" s="350"/>
      <c r="AR605" s="769"/>
      <c r="AS605" s="769"/>
      <c r="AT605" s="769"/>
      <c r="BM605" s="335"/>
    </row>
    <row r="606" spans="1:65" ht="22.25" customHeight="1">
      <c r="A606" s="181">
        <f t="shared" si="207"/>
        <v>45292</v>
      </c>
      <c r="B606" s="485"/>
      <c r="C606" s="490"/>
      <c r="D606" s="521"/>
      <c r="E606" s="194" t="e">
        <f>DATE(YEAR(E605),MONTH(E605)+3,DAY(E605)-1)</f>
        <v>#NUM!</v>
      </c>
      <c r="F606" s="195" t="e">
        <f t="shared" si="212"/>
        <v>#NUM!</v>
      </c>
      <c r="G606" s="196" t="e">
        <f t="shared" si="213"/>
        <v>#NUM!</v>
      </c>
      <c r="H606" s="195" t="e">
        <f t="shared" si="214"/>
        <v>#NUM!</v>
      </c>
      <c r="I606" s="244">
        <f>IF(J608&lt;13,J608,"")</f>
        <v>6</v>
      </c>
      <c r="J606" s="224">
        <f>J605+3</f>
        <v>3</v>
      </c>
      <c r="K606" s="501" t="str">
        <f t="shared" si="208"/>
        <v>+Inflat.-P</v>
      </c>
      <c r="L606" s="511" t="e">
        <f>IF(M599="Stufe A",IF(AND(L600="Auswahl treffen",D605&gt;=0,D605&lt;=1000),J599,IF(AND(L600="Vermögend und ambulant",D605&gt;8,D605&lt;=1000),130,IF(AND(L600="Vermögend und ambulant",D605&gt;4,D605&lt;=8),158,IF(AND(L600="Vermögend und ambulant",D605&gt;2,D605&lt;=4),192,IF(AND(L600="Vermögend und ambulant",D605&gt;1,D605&lt;=2),208,IF(AND(L600="Vermögend und ambulant",D605&gt;0,D605&lt;=1),298,IF(AND(L600="Vermögend und stationär",D605&gt;8,D605&lt;=1000),78,IF(AND(L600="Vermögend und stationär",D605&gt;4,D605&lt;=8),91,IF(AND(L600="Vermögend und stationär",D605&gt;2,D605&lt;=4),140,IF(AND(L600="Vermögend und stationär",D605&gt;1,D605&lt;=2),158,IF(AND(L600="Vermögend und stationär",D605&gt;0,D605&lt;=1),200,IF(AND(L600="Mittellos und ambulant",D605&gt;8,D605&lt;=1000),105,IF(AND(L600="Mittellos und ambulant",D605&gt;4,D605&lt;=8),122,IF(AND(L600="Mittellos und ambulant",D605&gt;2,D605&lt;=4),151,IF(AND(L600="Mittellos und ambulant",D605&gt;1,D605&lt;=2),170,IF(AND(L600="Mittellos und ambulant",D605&gt;0,D605&lt;=1),208,IF(AND(L600="Mittellos und stationär",D605&gt;8,D605&lt;=1000),62,IF(AND(L600="Mittellos und stationär",D605&gt;4,D605&lt;=8),87,IF(AND(L600="Mittellos und stationär",D605&gt;2,D605&lt;=4),124,IF(AND(L600="Mittellos und stationär",D605&gt;1,D605&lt;=2),129,IF(AND(L600="Mittellos und stationär",D605&gt;0,D605&lt;=1),194,""))))))))))))))))))))),IF(M599="Stufe B",IF(AND(L600="Auswahl treffen",D605&gt;=0,D605&lt;=1000),J599,IF(AND(L600="Vermögend und ambulant",D605&gt;8,D605&lt;=1000),161,IF(AND(L600="Vermögend und ambulant",D605&gt;4,D605&lt;=8),196,IF(AND(L600="Vermögend und ambulant",D605&gt;2,D605&lt;=4),238,IF(AND(L600="Vermögend und ambulant",D605&gt;1,D605&lt;=2),258,IF(AND(L600="Vermögend und ambulant",D605&gt;0,D605&lt;=1),370,IF(AND(L600="Vermögend und stationär",D605&gt;8,D605&lt;=1000),96,IF(AND(L600="Vermögend und stationär",D605&gt;4,D605&lt;=8),113,IF(AND(L600="Vermögend und stationär",D605&gt;2,D605&lt;=4),174,IF(AND(L600="Vermögend und stationär",D605&gt;1,D605&lt;=2),196,IF(AND(L600="Vermögend und stationär",D605&gt;0,D605&lt;=1),249,IF(AND(L600="Mittellos und ambulant",D605&gt;8,D605&lt;=1000),130,IF(AND(L600="Mittellos und ambulant",D605&gt;4,D605&lt;=8),151,IF(AND(L600="Mittellos und ambulant",D605&gt;2,D605&lt;=4),188,IF(AND(L600="Mittellos und ambulant",D605&gt;1,D605&lt;=2),211,IF(AND(L600="Mittellos und ambulant",D605&gt;0,D605&lt;=1),258,IF(AND(L600="Mittellos und stationär",D605&gt;8,D605&lt;=1000),78,IF(AND(L600="Mittellos und stationär",D605&gt;4,D605&lt;=8),107,IF(AND(L600="Mittellos und stationär",D605&gt;2,D605&lt;=4),154,IF(AND(L600="Mittellos und stationär",D605&gt;1,D605&lt;=2),158,IF(AND(L600="Mittellos und stationär",D605&gt;0,D605&lt;=1),241,""))))))))))))))))))))),IF(M599="Stufe C",IF(AND(L600="Auswahl treffen",D605&gt;=0,D605&lt;=1000),J599,IF(AND(L600="Vermögend und ambulant",D605&gt;8,D605&lt;=1000),211,IF(AND(L600="Vermögend und ambulant",D605&gt;4,D605&lt;=8),257,IF(AND(L600="Vermögend und ambulant",D605&gt;2,D605&lt;=4),312,IF(AND(L600="Vermögend und ambulant",D605&gt;1,D605&lt;=2),339,IF(AND(L600="Vermögend und ambulant",D605&gt;0,D605&lt;=1),486,IF(AND(L600="Vermögend und stationär",D605&gt;8,D605&lt;=1000),127,IF(AND(L600="Vermögend und stationär",D605&gt;4,D605&lt;=8),149,IF(AND(L600="Vermögend und stationär",D605&gt;2,D605&lt;=4),229,IF(AND(L600="Vermögend und stationär",D605&gt;1,D605&lt;=2),257,IF(AND(L600="Vermögend und stationär",D605&gt;0,D605&lt;=1),327,IF(AND(L600="Mittellos und ambulant",D605&gt;8,D605&lt;=1000),171,IF(AND(L600="Mittellos und ambulant",D605&gt;4,D605&lt;=8),198,IF(AND(L600="Mittellos und ambulant",D605&gt;2,D605&lt;=4),246,IF(AND(L600="Mittellos und ambulant",D605&gt;1,D605&lt;=2),277,IF(AND(L600="Mittellos und ambulant",D605&gt;0,D605&lt;=1),339,IF(AND(L600="Mittellos und stationär",D605&gt;8,D605&lt;=1000),102,IF(AND(L600="Mittellos und stationär",D605&gt;4,D605&lt;=8),141,IF(AND(L600="Mittellos und stationär",D605&gt;2,D605&lt;=4),202,IF(AND(L600="Mittellos und stationär",D605&gt;1,D605&lt;=2),208,IF(AND(L600="Mittellos und stationär",D605&gt;0,D605&lt;=1),317,""))))))))))))))))))))),"")))*3+(J599*90)</f>
        <v>#NUM!</v>
      </c>
      <c r="M606" s="507" t="str">
        <f>CONCATENATE(K606, K605)</f>
        <v>+Inflat.-P</v>
      </c>
      <c r="N606" s="206"/>
      <c r="O606" s="207"/>
      <c r="P606" s="206" t="s">
        <v>118</v>
      </c>
      <c r="Q606" s="226"/>
      <c r="R606" s="189"/>
      <c r="S606" s="203"/>
      <c r="T606" s="203"/>
      <c r="U606" s="204"/>
      <c r="V606" s="192"/>
      <c r="W606" s="203"/>
      <c r="X606" s="203"/>
      <c r="Y606" s="204"/>
      <c r="Z606" s="192"/>
      <c r="AA606" s="209" t="s">
        <v>118</v>
      </c>
      <c r="AB606" s="209" t="s">
        <v>117</v>
      </c>
      <c r="AC606" s="204" t="s">
        <v>26</v>
      </c>
      <c r="AD606" s="192"/>
      <c r="AE606" s="203"/>
      <c r="AF606" s="203"/>
      <c r="AG606" s="204"/>
      <c r="AH606" s="193"/>
      <c r="AI606" s="203"/>
      <c r="AJ606" s="203"/>
      <c r="AK606" s="375"/>
      <c r="AL606" s="348" t="s">
        <v>150</v>
      </c>
      <c r="AM606" s="354"/>
      <c r="AN606" s="354"/>
      <c r="AO606" s="354">
        <f>IF(SUM(P600:P608)=SUM(AA600:AA608), 0, SUM(P600:P608)-SUM(AA600:AA608))</f>
        <v>0</v>
      </c>
      <c r="AP606" s="354"/>
      <c r="AQ606" s="350">
        <f>AM606+AN606+AO606+AP606</f>
        <v>0</v>
      </c>
      <c r="AR606" s="769"/>
      <c r="AS606" s="769"/>
      <c r="AT606" s="769"/>
      <c r="BM606" s="335"/>
    </row>
    <row r="607" spans="1:65" ht="22.25" customHeight="1">
      <c r="A607" s="181">
        <f t="shared" si="207"/>
        <v>45292</v>
      </c>
      <c r="B607" s="486"/>
      <c r="C607" s="489" t="s">
        <v>158</v>
      </c>
      <c r="D607" s="522" t="e">
        <f>D605+1</f>
        <v>#NUM!</v>
      </c>
      <c r="E607" s="211" t="e">
        <f>DATE(YEAR(E606),MONTH(E606),DAY(E606)+1)</f>
        <v>#NUM!</v>
      </c>
      <c r="F607" s="227" t="e">
        <f t="shared" si="212"/>
        <v>#NUM!</v>
      </c>
      <c r="G607" s="228" t="e">
        <f t="shared" si="213"/>
        <v>#NUM!</v>
      </c>
      <c r="H607" s="227" t="e">
        <f t="shared" si="214"/>
        <v>#NUM!</v>
      </c>
      <c r="I607" s="231">
        <f>IF(J606&lt;13,J606,"")</f>
        <v>3</v>
      </c>
      <c r="J607" s="230">
        <f>J608+3</f>
        <v>9</v>
      </c>
      <c r="K607" s="501" t="str">
        <f t="shared" si="208"/>
        <v/>
      </c>
      <c r="L607" s="471"/>
      <c r="M607" s="473" t="e">
        <f ca="1">SUM(J600-E608)&amp;" Tage"</f>
        <v>#NUM!</v>
      </c>
      <c r="N607" s="216"/>
      <c r="O607" s="188"/>
      <c r="P607" s="188"/>
      <c r="Q607" s="217"/>
      <c r="R607" s="189"/>
      <c r="S607" s="190"/>
      <c r="T607" s="190"/>
      <c r="U607" s="191"/>
      <c r="V607" s="192"/>
      <c r="W607" s="190"/>
      <c r="X607" s="190"/>
      <c r="Y607" s="191"/>
      <c r="Z607" s="192"/>
      <c r="AA607" s="190"/>
      <c r="AB607" s="190"/>
      <c r="AC607" s="191"/>
      <c r="AD607" s="192"/>
      <c r="AE607" s="190"/>
      <c r="AF607" s="190"/>
      <c r="AG607" s="191"/>
      <c r="AH607" s="193"/>
      <c r="AI607" s="190"/>
      <c r="AJ607" s="190"/>
      <c r="AK607" s="374"/>
      <c r="AL607" s="348"/>
      <c r="AM607" s="354"/>
      <c r="AN607" s="354"/>
      <c r="AO607" s="354"/>
      <c r="AP607" s="354"/>
      <c r="AQ607" s="350"/>
      <c r="AR607" s="769"/>
      <c r="AS607" s="769"/>
      <c r="AT607" s="769"/>
      <c r="BM607" s="335"/>
    </row>
    <row r="608" spans="1:65" ht="22.25" customHeight="1">
      <c r="A608" s="181">
        <f t="shared" si="207"/>
        <v>45292</v>
      </c>
      <c r="B608" s="485"/>
      <c r="C608" s="490"/>
      <c r="D608" s="521"/>
      <c r="E608" s="218" t="e">
        <f>DATE(YEAR(E607),MONTH(E607)+3,DAY(E607)-1)</f>
        <v>#NUM!</v>
      </c>
      <c r="F608" s="227" t="e">
        <f t="shared" si="212"/>
        <v>#NUM!</v>
      </c>
      <c r="G608" s="228" t="e">
        <f t="shared" si="213"/>
        <v>#NUM!</v>
      </c>
      <c r="H608" s="227" t="e">
        <f t="shared" si="214"/>
        <v>#NUM!</v>
      </c>
      <c r="I608" s="231">
        <f>IF(J605&lt;13,J605,"")</f>
        <v>0</v>
      </c>
      <c r="J608" s="230">
        <f>J606+3</f>
        <v>6</v>
      </c>
      <c r="K608" s="506" t="str">
        <f t="shared" si="208"/>
        <v>+Inflat.-P</v>
      </c>
      <c r="L608" s="508" t="e">
        <f>IF(M599="Stufe A",IF(AND(L600="Auswahl treffen",D607&gt;=0,D607&lt;=1000),J599,IF(AND(L600="Vermögend und ambulant",D607&gt;8,D607&lt;=1000),130,IF(AND(L600="Vermögend und ambulant",D607&gt;4,D607&lt;=8),158,IF(AND(L600="Vermögend und ambulant",D607&gt;2,D607&lt;=4),192,IF(AND(L600="Vermögend und ambulant",D607&gt;1,D607&lt;=2),208,IF(AND(L600="Vermögend und ambulant",D607&gt;0,D607&lt;=1),298,IF(AND(L600="Vermögend und stationär",D607&gt;8,D607&lt;=1000),78,IF(AND(L600="Vermögend und stationär",D607&gt;4,D607&lt;=8),91,IF(AND(L600="Vermögend und stationär",D607&gt;2,D607&lt;=4),140,IF(AND(L600="Vermögend und stationär",D607&gt;1,D607&lt;=2),158,IF(AND(L600="Vermögend und stationär",D607&gt;0,D607&lt;=1),200,IF(AND(L600="Mittellos und ambulant",D607&gt;8,D607&lt;=1000),105,IF(AND(L600="Mittellos und ambulant",D607&gt;4,D607&lt;=8),122,IF(AND(L600="Mittellos und ambulant",D607&gt;2,D607&lt;=4),151,IF(AND(L600="Mittellos und ambulant",D607&gt;1,D607&lt;=2),170,IF(AND(L600="Mittellos und ambulant",D607&gt;0,D607&lt;=1),208,IF(AND(L600="Mittellos und stationär",D607&gt;8,D607&lt;=1000),62,IF(AND(L600="Mittellos und stationär",D607&gt;4,D607&lt;=8),87,IF(AND(L600="Mittellos und stationär",D607&gt;2,D607&lt;=4),124,IF(AND(L600="Mittellos und stationär",D607&gt;1,D607&lt;=2),129,IF(AND(L600="Mittellos und stationär",D607&gt;0,D607&lt;=1),194,""))))))))))))))))))))),IF(M599="Stufe B",IF(AND(L600="Auswahl treffen",D607&gt;=0,D607&lt;=1000),J599,IF(AND(L600="Vermögend und ambulant",D607&gt;8,D607&lt;=1000),161,IF(AND(L600="Vermögend und ambulant",D607&gt;4,D607&lt;=8),196,IF(AND(L600="Vermögend und ambulant",D607&gt;2,D607&lt;=4),238,IF(AND(L600="Vermögend und ambulant",D607&gt;1,D607&lt;=2),258,IF(AND(L600="Vermögend und ambulant",D607&gt;0,D607&lt;=1),370,IF(AND(L600="Vermögend und stationär",D607&gt;8,D607&lt;=1000),96,IF(AND(L600="Vermögend und stationär",D607&gt;4,D607&lt;=8),113,IF(AND(L600="Vermögend und stationär",D607&gt;2,D607&lt;=4),174,IF(AND(L600="Vermögend und stationär",D607&gt;1,D607&lt;=2),196,IF(AND(L600="Vermögend und stationär",D607&gt;0,D607&lt;=1),249,IF(AND(L600="Mittellos und ambulant",D607&gt;8,D607&lt;=1000),130,IF(AND(L600="Mittellos und ambulant",D607&gt;4,D607&lt;=8),151,IF(AND(L600="Mittellos und ambulant",D607&gt;2,D607&lt;=4),188,IF(AND(L600="Mittellos und ambulant",D607&gt;1,D607&lt;=2),211,IF(AND(L600="Mittellos und ambulant",D607&gt;0,D607&lt;=1),258,IF(AND(L600="Mittellos und stationär",D607&gt;8,D607&lt;=1000),78,IF(AND(L600="Mittellos und stationär",D607&gt;4,D607&lt;=8),107,IF(AND(L600="Mittellos und stationär",D607&gt;2,D607&lt;=4),154,IF(AND(L600="Mittellos und stationär",D607&gt;1,D607&lt;=2),158,IF(AND(L600="Mittellos und stationär",D607&gt;0,D607&lt;=1),241,""))))))))))))))))))))),IF(M599="Stufe C",IF(AND(L600="Auswahl treffen",D607&gt;=0,D607&lt;=1000),J599,IF(AND(L600="Vermögend und ambulant",D607&gt;8,D607&lt;=1000),211,IF(AND(L600="Vermögend und ambulant",D607&gt;4,D607&lt;=8),257,IF(AND(L600="Vermögend und ambulant",D607&gt;2,D607&lt;=4),312,IF(AND(L600="Vermögend und ambulant",D607&gt;1,D607&lt;=2),339,IF(AND(L600="Vermögend und ambulant",D607&gt;0,D607&lt;=1),486,IF(AND(L600="Vermögend und stationär",D607&gt;8,D607&lt;=1000),127,IF(AND(L600="Vermögend und stationär",D607&gt;4,D607&lt;=8),149,IF(AND(L600="Vermögend und stationär",D607&gt;2,D607&lt;=4),229,IF(AND(L600="Vermögend und stationär",D607&gt;1,D607&lt;=2),257,IF(AND(L600="Vermögend und stationär",D607&gt;0,D607&lt;=1),327,IF(AND(L600="Mittellos und ambulant",D607&gt;8,D607&lt;=1000),171,IF(AND(L600="Mittellos und ambulant",D607&gt;4,D607&lt;=8),198,IF(AND(L600="Mittellos und ambulant",D607&gt;2,D607&lt;=4),246,IF(AND(L600="Mittellos und ambulant",D607&gt;1,D607&lt;=2),277,IF(AND(L600="Mittellos und ambulant",D607&gt;0,D607&lt;=1),339,IF(AND(L600="Mittellos und stationär",D607&gt;8,D607&lt;=1000),102,IF(AND(L600="Mittellos und stationär",D607&gt;4,D607&lt;=8),141,IF(AND(L600="Mittellos und stationär",D607&gt;2,D607&lt;=4),202,IF(AND(L600="Mittellos und stationär",D607&gt;1,D607&lt;=2),208,IF(AND(L600="Mittellos und stationär",D607&gt;0,D607&lt;=1),317,""))))))))))))))))))))),"")))*3+(J599*90)</f>
        <v>#NUM!</v>
      </c>
      <c r="M608" s="507" t="str">
        <f>CONCATENATE(K608, K607)</f>
        <v>+Inflat.-P</v>
      </c>
      <c r="N608" s="216"/>
      <c r="O608" s="188"/>
      <c r="P608" s="188"/>
      <c r="Q608" s="217" t="s">
        <v>118</v>
      </c>
      <c r="R608" s="189"/>
      <c r="S608" s="190"/>
      <c r="T608" s="190"/>
      <c r="U608" s="191"/>
      <c r="V608" s="192"/>
      <c r="W608" s="190"/>
      <c r="X608" s="190"/>
      <c r="Y608" s="191"/>
      <c r="Z608" s="192"/>
      <c r="AA608" s="190"/>
      <c r="AB608" s="190"/>
      <c r="AC608" s="191"/>
      <c r="AD608" s="192"/>
      <c r="AE608" s="190" t="s">
        <v>118</v>
      </c>
      <c r="AF608" s="190" t="s">
        <v>117</v>
      </c>
      <c r="AG608" s="191" t="s">
        <v>26</v>
      </c>
      <c r="AH608" s="193"/>
      <c r="AI608" s="190" t="s">
        <v>118</v>
      </c>
      <c r="AJ608" s="190" t="s">
        <v>117</v>
      </c>
      <c r="AK608" s="374" t="s">
        <v>26</v>
      </c>
      <c r="AL608" s="348" t="s">
        <v>151</v>
      </c>
      <c r="AM608" s="354"/>
      <c r="AN608" s="354"/>
      <c r="AO608" s="354"/>
      <c r="AP608" s="354">
        <f>IF(SUM(Q600:Q608)=SUM(AE600:AE608,AI600:AI608), 0, SUM(Q600:Q608)-SUM(AE600:AE608,AI600:AI608))</f>
        <v>0</v>
      </c>
      <c r="AQ608" s="350">
        <f>AM608+AN608+AO608+AP608</f>
        <v>0</v>
      </c>
      <c r="AR608" s="769"/>
      <c r="AS608" s="769"/>
      <c r="AT608" s="769"/>
      <c r="BM608" s="335"/>
    </row>
    <row r="609" spans="1:65" ht="22" customHeight="1">
      <c r="A609" s="181">
        <f t="shared" si="207"/>
        <v>45292</v>
      </c>
      <c r="B609" s="232" t="s">
        <v>74</v>
      </c>
      <c r="C609" s="233" t="s">
        <v>75</v>
      </c>
      <c r="D609" s="234" t="s">
        <v>76</v>
      </c>
      <c r="E609" s="235" t="s">
        <v>11</v>
      </c>
      <c r="F609" s="235" t="s">
        <v>4</v>
      </c>
      <c r="G609" s="235" t="s">
        <v>5</v>
      </c>
      <c r="H609" s="235" t="s">
        <v>6</v>
      </c>
      <c r="I609" s="236" t="s">
        <v>77</v>
      </c>
      <c r="J609" s="306"/>
      <c r="K609" s="501" t="str">
        <f t="shared" si="208"/>
        <v/>
      </c>
      <c r="L609" s="306" t="str">
        <f>IFERROR(VLOOKUP(B610,'Aktuelle Einnahmen'!A2:J104,10,0),"")</f>
        <v/>
      </c>
      <c r="M609" s="510" t="str">
        <f>M599</f>
        <v>Stufe C</v>
      </c>
      <c r="N609" s="237"/>
      <c r="O609" s="238"/>
      <c r="P609" s="238"/>
      <c r="Q609" s="239"/>
      <c r="R609" s="240"/>
      <c r="S609" s="241"/>
      <c r="T609" s="241"/>
      <c r="U609" s="242"/>
      <c r="V609" s="243"/>
      <c r="W609" s="241"/>
      <c r="X609" s="241"/>
      <c r="Y609" s="242"/>
      <c r="Z609" s="243"/>
      <c r="AA609" s="241"/>
      <c r="AB609" s="241"/>
      <c r="AC609" s="242"/>
      <c r="AD609" s="243"/>
      <c r="AE609" s="241"/>
      <c r="AF609" s="241"/>
      <c r="AG609" s="242"/>
      <c r="AH609" s="240"/>
      <c r="AI609" s="241"/>
      <c r="AJ609" s="241"/>
      <c r="AK609" s="377"/>
      <c r="AL609" s="347"/>
      <c r="AM609" s="353"/>
      <c r="AN609" s="353"/>
      <c r="AO609" s="353"/>
      <c r="AP609" s="353"/>
      <c r="AQ609" s="349"/>
      <c r="AR609" s="768"/>
      <c r="AS609" s="768"/>
      <c r="AT609" s="768"/>
      <c r="BM609" s="335"/>
    </row>
    <row r="610" spans="1:65" ht="23" customHeight="1">
      <c r="A610" s="181">
        <f t="shared" si="207"/>
        <v>45292</v>
      </c>
      <c r="B610" s="182">
        <v>61</v>
      </c>
      <c r="C610" s="245">
        <f>IFERROR(VLOOKUP($B610,'Aktuelle Einnahmen'!A2:G104,3,0),"")</f>
        <v>0</v>
      </c>
      <c r="D610" s="246">
        <f>IFERROR(VLOOKUP($B610,'Aktuelle Einnahmen'!A2:G104,2,0),"")</f>
        <v>0</v>
      </c>
      <c r="E610" s="247">
        <f>IFERROR(VLOOKUP($B610,'Aktuelle Einnahmen'!A2:G104,4,0),"")</f>
        <v>0</v>
      </c>
      <c r="F610" s="94">
        <f>IFERROR(VLOOKUP($B610,'Aktuelle Einnahmen'!A2:G104,5,0),"")</f>
        <v>0</v>
      </c>
      <c r="G610" s="94">
        <f>IFERROR(VLOOKUP($B610,'Aktuelle Einnahmen'!A2:G104,6,0),"")</f>
        <v>0</v>
      </c>
      <c r="H610" s="94">
        <f>IFERROR(VLOOKUP($B610,'Aktuelle Einnahmen'!A2:G104,7,0),"")</f>
        <v>0</v>
      </c>
      <c r="I610" s="186" t="e">
        <f>DATE(H610,G610,F610)</f>
        <v>#NUM!</v>
      </c>
      <c r="J610" s="472">
        <f ca="1">J600</f>
        <v>45475</v>
      </c>
      <c r="K610" s="506" t="str">
        <f t="shared" si="208"/>
        <v>+Inflat.-P</v>
      </c>
      <c r="L610" s="1262" t="str">
        <f>IFERROR(VLOOKUP(B610,'Aktuelle Einnahmen'!A22:I124,9,0),"")</f>
        <v>Auswahl treffen</v>
      </c>
      <c r="M610" s="1263"/>
      <c r="N610" s="261"/>
      <c r="O610" s="261"/>
      <c r="P610" s="261"/>
      <c r="Q610" s="261"/>
      <c r="R610" s="189"/>
      <c r="S610" s="190"/>
      <c r="T610" s="190"/>
      <c r="U610" s="191"/>
      <c r="V610" s="192"/>
      <c r="W610" s="190"/>
      <c r="X610" s="190"/>
      <c r="Y610" s="191"/>
      <c r="Z610" s="192"/>
      <c r="AA610" s="190"/>
      <c r="AB610" s="190"/>
      <c r="AC610" s="191"/>
      <c r="AD610" s="192"/>
      <c r="AE610" s="190"/>
      <c r="AF610" s="190"/>
      <c r="AG610" s="191"/>
      <c r="AH610" s="193"/>
      <c r="AI610" s="190"/>
      <c r="AJ610" s="190"/>
      <c r="AK610" s="374"/>
      <c r="AL610" s="348"/>
      <c r="AM610" s="354"/>
      <c r="AN610" s="354"/>
      <c r="AO610" s="354"/>
      <c r="AP610" s="354"/>
      <c r="AQ610" s="350"/>
      <c r="AR610" s="769"/>
      <c r="AS610" s="769"/>
      <c r="AT610" s="769"/>
      <c r="BM610" s="335"/>
    </row>
    <row r="611" spans="1:65" ht="22.25" customHeight="1">
      <c r="A611" s="181">
        <f t="shared" si="207"/>
        <v>45292</v>
      </c>
      <c r="B611" s="484" t="e">
        <f>DAY(I610)</f>
        <v>#NUM!</v>
      </c>
      <c r="C611" s="489" t="s">
        <v>158</v>
      </c>
      <c r="D611" s="520" t="e">
        <f>(I611*4)+J611/3+1</f>
        <v>#NUM!</v>
      </c>
      <c r="E611" s="194" t="e">
        <f>J613+1</f>
        <v>#NUM!</v>
      </c>
      <c r="F611" s="195" t="e">
        <f t="shared" ref="F611:F618" si="215">DAY(E611)</f>
        <v>#NUM!</v>
      </c>
      <c r="G611" s="196" t="e">
        <f t="shared" ref="G611:G618" si="216">MONTH(E611)</f>
        <v>#NUM!</v>
      </c>
      <c r="H611" s="195" t="e">
        <f t="shared" ref="H611:H618" si="217">YEAR(E611)</f>
        <v>#NUM!</v>
      </c>
      <c r="I611" s="197" t="e">
        <f>H611-(H610+2000)</f>
        <v>#NUM!</v>
      </c>
      <c r="J611" s="198" t="e">
        <f>G611-G610</f>
        <v>#NUM!</v>
      </c>
      <c r="K611" s="506" t="str">
        <f>L609</f>
        <v/>
      </c>
      <c r="L611" s="469"/>
      <c r="M611" s="473" t="e">
        <f ca="1">SUM(J610-E612)&amp;" Tage"</f>
        <v>#NUM!</v>
      </c>
      <c r="N611" s="206"/>
      <c r="O611" s="201"/>
      <c r="P611" s="201"/>
      <c r="Q611" s="202"/>
      <c r="R611" s="189"/>
      <c r="S611" s="203"/>
      <c r="T611" s="203"/>
      <c r="U611" s="204"/>
      <c r="V611" s="192"/>
      <c r="W611" s="203"/>
      <c r="X611" s="203"/>
      <c r="Y611" s="204"/>
      <c r="Z611" s="192"/>
      <c r="AA611" s="203"/>
      <c r="AB611" s="203"/>
      <c r="AC611" s="204"/>
      <c r="AD611" s="192"/>
      <c r="AE611" s="203"/>
      <c r="AF611" s="203"/>
      <c r="AG611" s="204"/>
      <c r="AH611" s="193"/>
      <c r="AI611" s="203"/>
      <c r="AJ611" s="203"/>
      <c r="AK611" s="375"/>
      <c r="AL611" s="348"/>
      <c r="AM611" s="354"/>
      <c r="AN611" s="354"/>
      <c r="AO611" s="354"/>
      <c r="AP611" s="354"/>
      <c r="AQ611" s="350"/>
      <c r="AR611" s="769"/>
      <c r="AS611" s="769"/>
      <c r="AT611" s="769"/>
      <c r="BM611" s="335"/>
    </row>
    <row r="612" spans="1:65" ht="22.25" customHeight="1">
      <c r="A612" s="181">
        <f t="shared" si="207"/>
        <v>45292</v>
      </c>
      <c r="B612" s="485"/>
      <c r="C612" s="490"/>
      <c r="D612" s="521"/>
      <c r="E612" s="194" t="e">
        <f>DATE(YEAR(E611),MONTH(E611)+3,DAY(E611)-1)</f>
        <v>#NUM!</v>
      </c>
      <c r="F612" s="195" t="e">
        <f t="shared" si="215"/>
        <v>#NUM!</v>
      </c>
      <c r="G612" s="196" t="e">
        <f t="shared" si="216"/>
        <v>#NUM!</v>
      </c>
      <c r="H612" s="195" t="e">
        <f t="shared" si="217"/>
        <v>#NUM!</v>
      </c>
      <c r="I612" s="244">
        <v>-1</v>
      </c>
      <c r="J612" s="198" t="e">
        <f>F611-F610</f>
        <v>#NUM!</v>
      </c>
      <c r="K612" s="506" t="str">
        <f t="shared" si="208"/>
        <v>+Inflat.-P</v>
      </c>
      <c r="L612" s="511" t="e">
        <f>IF(M609="Stufe A",IF(AND(L610="Auswahl treffen",D611&gt;=0,D611&lt;=1000),J609,IF(AND(L610="Vermögend und ambulant",D611&gt;8,D611&lt;=1000),130,IF(AND(L610="Vermögend und ambulant",D611&gt;4,D611&lt;=8),158,IF(AND(L610="Vermögend und ambulant",D611&gt;2,D611&lt;=4),192,IF(AND(L610="Vermögend und ambulant",D611&gt;1,D611&lt;=2),208,IF(AND(L610="Vermögend und ambulant",D611&gt;0,D611&lt;=1),298,IF(AND(L610="Vermögend und stationär",D611&gt;8,D611&lt;=1000),78,IF(AND(L610="Vermögend und stationär",D611&gt;4,D611&lt;=8),91,IF(AND(L610="Vermögend und stationär",D611&gt;2,D611&lt;=4),140,IF(AND(L610="Vermögend und stationär",D611&gt;1,D611&lt;=2),158,IF(AND(L610="Vermögend und stationär",D611&gt;0,D611&lt;=1),200,IF(AND(L610="Mittellos und ambulant",D611&gt;8,D611&lt;=1000),105,IF(AND(L610="Mittellos und ambulant",D611&gt;4,D611&lt;=8),122,IF(AND(L610="Mittellos und ambulant",D611&gt;2,D611&lt;=4),151,IF(AND(L610="Mittellos und ambulant",D611&gt;1,D611&lt;=2),170,IF(AND(L610="Mittellos und ambulant",D611&gt;0,D611&lt;=1),208,IF(AND(L610="Mittellos und stationär",D611&gt;8,D611&lt;=1000),62,IF(AND(L610="Mittellos und stationär",D611&gt;4,D611&lt;=8),87,IF(AND(L610="Mittellos und stationär",D611&gt;2,D611&lt;=4),124,IF(AND(L610="Mittellos und stationär",D611&gt;1,D611&lt;=2),129,IF(AND(L610="Mittellos und stationär",D611&gt;0,D611&lt;=1),194,""))))))))))))))))))))),IF(M609="Stufe B",IF(AND(L610="Auswahl treffen",D611&gt;=0,D611&lt;=1000),J609,IF(AND(L610="Vermögend und ambulant",D611&gt;8,D611&lt;=1000),161,IF(AND(L610="Vermögend und ambulant",D611&gt;4,D611&lt;=8),196,IF(AND(L610="Vermögend und ambulant",D611&gt;2,D611&lt;=4),238,IF(AND(L610="Vermögend und ambulant",D611&gt;1,D611&lt;=2),258,IF(AND(L610="Vermögend und ambulant",D611&gt;0,D611&lt;=1),370,IF(AND(L610="Vermögend und stationär",D611&gt;8,D611&lt;=1000),96,IF(AND(L610="Vermögend und stationär",D611&gt;4,D611&lt;=8),113,IF(AND(L610="Vermögend und stationär",D611&gt;2,D611&lt;=4),174,IF(AND(L610="Vermögend und stationär",D611&gt;1,D611&lt;=2),196,IF(AND(L610="Vermögend und stationär",D611&gt;0,D611&lt;=1),249,IF(AND(L610="Mittellos und ambulant",D611&gt;8,D611&lt;=1000),130,IF(AND(L610="Mittellos und ambulant",D611&gt;4,D611&lt;=8),151,IF(AND(L610="Mittellos und ambulant",D611&gt;2,D611&lt;=4),188,IF(AND(L610="Mittellos und ambulant",D611&gt;1,D611&lt;=2),211,IF(AND(L610="Mittellos und ambulant",D611&gt;0,D611&lt;=1),258,IF(AND(L610="Mittellos und stationär",D611&gt;8,D611&lt;=1000),78,IF(AND(L610="Mittellos und stationär",D611&gt;4,D611&lt;=8),107,IF(AND(L610="Mittellos und stationär",D611&gt;2,D611&lt;=4),154,IF(AND(L610="Mittellos und stationär",D611&gt;1,D611&lt;=2),158,IF(AND(L610="Mittellos und stationär",D611&gt;0,D611&lt;=1),241,""))))))))))))))))))))),IF(M609="Stufe C",IF(AND(L610="Auswahl treffen",D611&gt;=0,D611&lt;=1000),J609,IF(AND(L610="Vermögend und ambulant",D611&gt;8,D611&lt;=1000),211,IF(AND(L610="Vermögend und ambulant",D611&gt;4,D611&lt;=8),257,IF(AND(L610="Vermögend und ambulant",D611&gt;2,D611&lt;=4),312,IF(AND(L610="Vermögend und ambulant",D611&gt;1,D611&lt;=2),339,IF(AND(L610="Vermögend und ambulant",D611&gt;0,D611&lt;=1),486,IF(AND(L610="Vermögend und stationär",D611&gt;8,D611&lt;=1000),127,IF(AND(L610="Vermögend und stationär",D611&gt;4,D611&lt;=8),149,IF(AND(L610="Vermögend und stationär",D611&gt;2,D611&lt;=4),229,IF(AND(L610="Vermögend und stationär",D611&gt;1,D611&lt;=2),257,IF(AND(L610="Vermögend und stationär",D611&gt;0,D611&lt;=1),327,IF(AND(L610="Mittellos und ambulant",D611&gt;8,D611&lt;=1000),171,IF(AND(L610="Mittellos und ambulant",D611&gt;4,D611&lt;=8),198,IF(AND(L610="Mittellos und ambulant",D611&gt;2,D611&lt;=4),246,IF(AND(L610="Mittellos und ambulant",D611&gt;1,D611&lt;=2),277,IF(AND(L610="Mittellos und ambulant",D611&gt;0,D611&lt;=1),339,IF(AND(L610="Mittellos und stationär",D611&gt;8,D611&lt;=1000),102,IF(AND(L610="Mittellos und stationär",D611&gt;4,D611&lt;=8),141,IF(AND(L610="Mittellos und stationär",D611&gt;2,D611&lt;=4),202,IF(AND(L610="Mittellos und stationär",D611&gt;1,D611&lt;=2),208,IF(AND(L610="Mittellos und stationär",D611&gt;0,D611&lt;=1),317,""))))))))))))))))))))),"")))*3+(J609*90)</f>
        <v>#NUM!</v>
      </c>
      <c r="M612" s="507" t="str">
        <f>CONCATENATE(K612, K611)</f>
        <v>+Inflat.-P</v>
      </c>
      <c r="N612" s="206" t="s">
        <v>118</v>
      </c>
      <c r="O612" s="207"/>
      <c r="P612" s="207"/>
      <c r="Q612" s="208"/>
      <c r="R612" s="187"/>
      <c r="S612" s="209" t="s">
        <v>118</v>
      </c>
      <c r="T612" s="201" t="s">
        <v>117</v>
      </c>
      <c r="U612" s="210" t="s">
        <v>26</v>
      </c>
      <c r="V612" s="192"/>
      <c r="W612" s="203"/>
      <c r="X612" s="203"/>
      <c r="Y612" s="210"/>
      <c r="Z612" s="192"/>
      <c r="AA612" s="203"/>
      <c r="AB612" s="203"/>
      <c r="AC612" s="210"/>
      <c r="AD612" s="192"/>
      <c r="AE612" s="203"/>
      <c r="AF612" s="203"/>
      <c r="AG612" s="210"/>
      <c r="AH612" s="193"/>
      <c r="AI612" s="203"/>
      <c r="AJ612" s="203"/>
      <c r="AK612" s="376"/>
      <c r="AL612" s="348" t="s">
        <v>148</v>
      </c>
      <c r="AM612" s="354">
        <f>IF(SUM(N610:N618)=SUM(S610:S618), 0, SUM(N610:N618)-SUM(S610:S618))</f>
        <v>0</v>
      </c>
      <c r="AN612" s="354"/>
      <c r="AO612" s="354"/>
      <c r="AP612" s="354"/>
      <c r="AQ612" s="350">
        <f>AM612+AN612+AO612+AP612</f>
        <v>0</v>
      </c>
      <c r="AR612" s="769"/>
      <c r="AS612" s="769"/>
      <c r="AT612" s="769"/>
      <c r="BM612" s="335"/>
    </row>
    <row r="613" spans="1:65" ht="22.25" customHeight="1">
      <c r="A613" s="181">
        <f t="shared" si="207"/>
        <v>45292</v>
      </c>
      <c r="B613" s="484" t="e">
        <f>MONTH(I610)</f>
        <v>#NUM!</v>
      </c>
      <c r="C613" s="489" t="s">
        <v>158</v>
      </c>
      <c r="D613" s="522" t="e">
        <f>D611+1</f>
        <v>#NUM!</v>
      </c>
      <c r="E613" s="211" t="e">
        <f>DATE(YEAR(E612),MONTH(E612),DAY(E612)+1)</f>
        <v>#NUM!</v>
      </c>
      <c r="F613" s="212" t="e">
        <f t="shared" si="215"/>
        <v>#NUM!</v>
      </c>
      <c r="G613" s="213" t="e">
        <f t="shared" si="216"/>
        <v>#NUM!</v>
      </c>
      <c r="H613" s="212" t="e">
        <f t="shared" si="217"/>
        <v>#NUM!</v>
      </c>
      <c r="I613" s="214" t="str">
        <f>IF(D610&lt;&gt;0,"-1T","")</f>
        <v/>
      </c>
      <c r="J613" s="215" t="e">
        <f>DATE($B615,I614,$B611)</f>
        <v>#NUM!</v>
      </c>
      <c r="K613" s="501" t="str">
        <f t="shared" si="208"/>
        <v/>
      </c>
      <c r="L613" s="470"/>
      <c r="M613" s="473" t="e">
        <f ca="1">SUM(J610-E614)&amp;" Tage"</f>
        <v>#NUM!</v>
      </c>
      <c r="N613" s="216"/>
      <c r="O613" s="217"/>
      <c r="P613" s="188"/>
      <c r="Q613" s="217"/>
      <c r="R613" s="189"/>
      <c r="S613" s="190"/>
      <c r="T613" s="190"/>
      <c r="U613" s="191"/>
      <c r="V613" s="192"/>
      <c r="W613" s="190"/>
      <c r="X613" s="190"/>
      <c r="Y613" s="191"/>
      <c r="Z613" s="192"/>
      <c r="AA613" s="190"/>
      <c r="AB613" s="190"/>
      <c r="AC613" s="191"/>
      <c r="AD613" s="192"/>
      <c r="AE613" s="190"/>
      <c r="AF613" s="190"/>
      <c r="AG613" s="191"/>
      <c r="AH613" s="193"/>
      <c r="AI613" s="190"/>
      <c r="AJ613" s="190"/>
      <c r="AK613" s="374"/>
      <c r="AL613" s="348"/>
      <c r="AM613" s="354"/>
      <c r="AN613" s="354"/>
      <c r="AO613" s="354"/>
      <c r="AP613" s="354"/>
      <c r="AQ613" s="350"/>
      <c r="AR613" s="769"/>
      <c r="AS613" s="769"/>
      <c r="AT613" s="769"/>
      <c r="BM613" s="335"/>
    </row>
    <row r="614" spans="1:65" ht="22.25" customHeight="1">
      <c r="A614" s="181">
        <f t="shared" si="207"/>
        <v>45292</v>
      </c>
      <c r="B614" s="485"/>
      <c r="C614" s="490"/>
      <c r="D614" s="521"/>
      <c r="E614" s="218" t="e">
        <f>DATE(YEAR(E613),MONTH(E613)+3,DAY(E613)-1)</f>
        <v>#NUM!</v>
      </c>
      <c r="F614" s="212" t="e">
        <f t="shared" si="215"/>
        <v>#NUM!</v>
      </c>
      <c r="G614" s="213" t="e">
        <f t="shared" si="216"/>
        <v>#NUM!</v>
      </c>
      <c r="H614" s="212" t="e">
        <f t="shared" si="217"/>
        <v>#NUM!</v>
      </c>
      <c r="I614" s="219">
        <f>MAX(I615:I618)</f>
        <v>9</v>
      </c>
      <c r="J614" s="220" t="e">
        <f>DATE(YEAR(J613)+1,MONTH(J613),DAY(J613))</f>
        <v>#NUM!</v>
      </c>
      <c r="K614" s="501" t="str">
        <f t="shared" si="208"/>
        <v>+Inflat.-P</v>
      </c>
      <c r="L614" s="508" t="e">
        <f>IF(M609="Stufe A",IF(AND(L610="Auswahl treffen",D613&gt;=0,D613&lt;=1000),J609,IF(AND(L610="Vermögend und ambulant",D613&gt;8,D613&lt;=1000),130,IF(AND(L610="Vermögend und ambulant",D613&gt;4,D613&lt;=8),158,IF(AND(L610="Vermögend und ambulant",D613&gt;2,D613&lt;=4),192,IF(AND(L610="Vermögend und ambulant",D613&gt;1,D613&lt;=2),208,IF(AND(L610="Vermögend und ambulant",D613&gt;0,D613&lt;=1),298,IF(AND(L610="Vermögend und stationär",D613&gt;8,D613&lt;=1000),78,IF(AND(L610="Vermögend und stationär",D613&gt;4,D613&lt;=8),91,IF(AND(L610="Vermögend und stationär",D613&gt;2,D613&lt;=4),140,IF(AND(L610="Vermögend und stationär",D613&gt;1,D613&lt;=2),158,IF(AND(L610="Vermögend und stationär",D613&gt;0,D613&lt;=1),200,IF(AND(L610="Mittellos und ambulant",D613&gt;8,D613&lt;=1000),105,IF(AND(L610="Mittellos und ambulant",D613&gt;4,D613&lt;=8),122,IF(AND(L610="Mittellos und ambulant",D613&gt;2,D613&lt;=4),151,IF(AND(L610="Mittellos und ambulant",D613&gt;1,D613&lt;=2),170,IF(AND(L610="Mittellos und ambulant",D613&gt;0,D613&lt;=1),208,IF(AND(L610="Mittellos und stationär",D613&gt;8,D613&lt;=1000),62,IF(AND(L610="Mittellos und stationär",D613&gt;4,D613&lt;=8),87,IF(AND(L610="Mittellos und stationär",D613&gt;2,D613&lt;=4),124,IF(AND(L610="Mittellos und stationär",D613&gt;1,D613&lt;=2),129,IF(AND(L610="Mittellos und stationär",D613&gt;0,D613&lt;=1),194,""))))))))))))))))))))),IF(M609="Stufe B",IF(AND(L610="Auswahl treffen",D613&gt;=0,D613&lt;=1000),J609,IF(AND(L610="Vermögend und ambulant",D613&gt;8,D613&lt;=1000),161,IF(AND(L610="Vermögend und ambulant",D613&gt;4,D613&lt;=8),196,IF(AND(L610="Vermögend und ambulant",D613&gt;2,D613&lt;=4),238,IF(AND(L610="Vermögend und ambulant",D613&gt;1,D613&lt;=2),258,IF(AND(L610="Vermögend und ambulant",D613&gt;0,D613&lt;=1),370,IF(AND(L610="Vermögend und stationär",D613&gt;8,D613&lt;=1000),96,IF(AND(L610="Vermögend und stationär",D613&gt;4,D613&lt;=8),113,IF(AND(L610="Vermögend und stationär",D613&gt;2,D613&lt;=4),174,IF(AND(L610="Vermögend und stationär",D613&gt;1,D613&lt;=2),196,IF(AND(L610="Vermögend und stationär",D613&gt;0,D613&lt;=1),249,IF(AND(L610="Mittellos und ambulant",D613&gt;8,D613&lt;=1000),130,IF(AND(L610="Mittellos und ambulant",D613&gt;4,D613&lt;=8),151,IF(AND(L610="Mittellos und ambulant",D613&gt;2,D613&lt;=4),188,IF(AND(L610="Mittellos und ambulant",D613&gt;1,D613&lt;=2),211,IF(AND(L610="Mittellos und ambulant",D613&gt;0,D613&lt;=1),258,IF(AND(L610="Mittellos und stationär",D613&gt;8,D613&lt;=1000),78,IF(AND(L610="Mittellos und stationär",D613&gt;4,D613&lt;=8),107,IF(AND(L610="Mittellos und stationär",D613&gt;2,D613&lt;=4),154,IF(AND(L610="Mittellos und stationär",D613&gt;1,D613&lt;=2),158,IF(AND(L610="Mittellos und stationär",D613&gt;0,D613&lt;=1),241,""))))))))))))))))))))),IF(M609="Stufe C",IF(AND(L610="Auswahl treffen",D613&gt;=0,D613&lt;=1000),J609,IF(AND(L610="Vermögend und ambulant",D613&gt;8,D613&lt;=1000),211,IF(AND(L610="Vermögend und ambulant",D613&gt;4,D613&lt;=8),257,IF(AND(L610="Vermögend und ambulant",D613&gt;2,D613&lt;=4),312,IF(AND(L610="Vermögend und ambulant",D613&gt;1,D613&lt;=2),339,IF(AND(L610="Vermögend und ambulant",D613&gt;0,D613&lt;=1),486,IF(AND(L610="Vermögend und stationär",D613&gt;8,D613&lt;=1000),127,IF(AND(L610="Vermögend und stationär",D613&gt;4,D613&lt;=8),149,IF(AND(L610="Vermögend und stationär",D613&gt;2,D613&lt;=4),229,IF(AND(L610="Vermögend und stationär",D613&gt;1,D613&lt;=2),257,IF(AND(L610="Vermögend und stationär",D613&gt;0,D613&lt;=1),327,IF(AND(L610="Mittellos und ambulant",D613&gt;8,D613&lt;=1000),171,IF(AND(L610="Mittellos und ambulant",D613&gt;4,D613&lt;=8),198,IF(AND(L610="Mittellos und ambulant",D613&gt;2,D613&lt;=4),246,IF(AND(L610="Mittellos und ambulant",D613&gt;1,D613&lt;=2),277,IF(AND(L610="Mittellos und ambulant",D613&gt;0,D613&lt;=1),339,IF(AND(L610="Mittellos und stationär",D613&gt;8,D613&lt;=1000),102,IF(AND(L610="Mittellos und stationär",D613&gt;4,D613&lt;=8),141,IF(AND(L610="Mittellos und stationär",D613&gt;2,D613&lt;=4),202,IF(AND(L610="Mittellos und stationär",D613&gt;1,D613&lt;=2),208,IF(AND(L610="Mittellos und stationär",D613&gt;0,D613&lt;=1),317,""))))))))))))))))))))),"")))*3+(J609*90)</f>
        <v>#NUM!</v>
      </c>
      <c r="M614" s="507" t="str">
        <f>CONCATENATE(K614, K613)</f>
        <v>+Inflat.-P</v>
      </c>
      <c r="N614" s="216"/>
      <c r="O614" s="188" t="s">
        <v>118</v>
      </c>
      <c r="P614" s="188"/>
      <c r="Q614" s="221"/>
      <c r="R614" s="199"/>
      <c r="S614" s="190"/>
      <c r="T614" s="190"/>
      <c r="U614" s="191"/>
      <c r="V614" s="192"/>
      <c r="W614" s="222" t="s">
        <v>118</v>
      </c>
      <c r="X614" s="222" t="s">
        <v>117</v>
      </c>
      <c r="Y614" s="191" t="s">
        <v>26</v>
      </c>
      <c r="Z614" s="192"/>
      <c r="AA614" s="190"/>
      <c r="AB614" s="190"/>
      <c r="AC614" s="191"/>
      <c r="AD614" s="192"/>
      <c r="AE614" s="190"/>
      <c r="AF614" s="190"/>
      <c r="AG614" s="191"/>
      <c r="AH614" s="193"/>
      <c r="AI614" s="190"/>
      <c r="AJ614" s="190"/>
      <c r="AK614" s="374"/>
      <c r="AL614" s="348" t="s">
        <v>149</v>
      </c>
      <c r="AM614" s="354"/>
      <c r="AN614" s="354">
        <f>IF(SUM(O610:O618)=SUM(W610:W618), 0, SUM(O610:O618)-SUM(W610:W618))</f>
        <v>0</v>
      </c>
      <c r="AO614" s="354"/>
      <c r="AP614" s="354"/>
      <c r="AQ614" s="350">
        <f>AM614+AN614+AO614+AP614</f>
        <v>0</v>
      </c>
      <c r="AR614" s="769"/>
      <c r="AS614" s="769"/>
      <c r="AT614" s="769"/>
      <c r="BM614" s="335"/>
    </row>
    <row r="615" spans="1:65" ht="22.25" customHeight="1">
      <c r="A615" s="181">
        <f t="shared" si="207"/>
        <v>45292</v>
      </c>
      <c r="B615" s="484">
        <f>YEAR($A616)-1</f>
        <v>2023</v>
      </c>
      <c r="C615" s="489" t="s">
        <v>158</v>
      </c>
      <c r="D615" s="520" t="e">
        <f>D613+1</f>
        <v>#NUM!</v>
      </c>
      <c r="E615" s="194" t="e">
        <f>DATE(YEAR(E614),MONTH(E614),DAY(E614)+1)</f>
        <v>#NUM!</v>
      </c>
      <c r="F615" s="195" t="e">
        <f t="shared" si="215"/>
        <v>#NUM!</v>
      </c>
      <c r="G615" s="196" t="e">
        <f t="shared" si="216"/>
        <v>#NUM!</v>
      </c>
      <c r="H615" s="195" t="e">
        <f t="shared" si="217"/>
        <v>#NUM!</v>
      </c>
      <c r="I615" s="197">
        <f>IF(J617&lt;13,J617,"")</f>
        <v>9</v>
      </c>
      <c r="J615" s="224">
        <f>G610</f>
        <v>0</v>
      </c>
      <c r="K615" s="506" t="str">
        <f t="shared" si="208"/>
        <v/>
      </c>
      <c r="L615" s="471"/>
      <c r="M615" s="473" t="e">
        <f ca="1">SUM(J610-E616)&amp;" Tage"</f>
        <v>#NUM!</v>
      </c>
      <c r="N615" s="200"/>
      <c r="O615" s="201"/>
      <c r="P615" s="201"/>
      <c r="Q615" s="202"/>
      <c r="R615" s="189"/>
      <c r="S615" s="203"/>
      <c r="T615" s="203"/>
      <c r="U615" s="204"/>
      <c r="V615" s="192"/>
      <c r="W615" s="203"/>
      <c r="X615" s="203"/>
      <c r="Y615" s="204"/>
      <c r="Z615" s="192"/>
      <c r="AA615" s="203"/>
      <c r="AB615" s="203"/>
      <c r="AC615" s="204"/>
      <c r="AD615" s="192"/>
      <c r="AE615" s="203"/>
      <c r="AF615" s="203"/>
      <c r="AG615" s="204"/>
      <c r="AH615" s="193"/>
      <c r="AI615" s="203"/>
      <c r="AJ615" s="203"/>
      <c r="AK615" s="375"/>
      <c r="AL615" s="348"/>
      <c r="AM615" s="354"/>
      <c r="AN615" s="354"/>
      <c r="AO615" s="354"/>
      <c r="AP615" s="354"/>
      <c r="AQ615" s="350"/>
      <c r="AR615" s="769"/>
      <c r="AS615" s="769"/>
      <c r="AT615" s="769"/>
      <c r="BM615" s="335"/>
    </row>
    <row r="616" spans="1:65" ht="22.25" customHeight="1">
      <c r="A616" s="181">
        <f t="shared" si="207"/>
        <v>45292</v>
      </c>
      <c r="B616" s="485"/>
      <c r="C616" s="490"/>
      <c r="D616" s="521"/>
      <c r="E616" s="194" t="e">
        <f>DATE(YEAR(E615),MONTH(E615)+3,DAY(E615)-1)</f>
        <v>#NUM!</v>
      </c>
      <c r="F616" s="195" t="e">
        <f t="shared" si="215"/>
        <v>#NUM!</v>
      </c>
      <c r="G616" s="196" t="e">
        <f t="shared" si="216"/>
        <v>#NUM!</v>
      </c>
      <c r="H616" s="195" t="e">
        <f t="shared" si="217"/>
        <v>#NUM!</v>
      </c>
      <c r="I616" s="244">
        <f>IF(J618&lt;13,J618,"")</f>
        <v>6</v>
      </c>
      <c r="J616" s="224">
        <f>J615+3</f>
        <v>3</v>
      </c>
      <c r="K616" s="501" t="str">
        <f t="shared" si="208"/>
        <v>+Inflat.-P</v>
      </c>
      <c r="L616" s="511" t="e">
        <f>IF(M609="Stufe A",IF(AND(L610="Auswahl treffen",D615&gt;=0,D615&lt;=1000),J609,IF(AND(L610="Vermögend und ambulant",D615&gt;8,D615&lt;=1000),130,IF(AND(L610="Vermögend und ambulant",D615&gt;4,D615&lt;=8),158,IF(AND(L610="Vermögend und ambulant",D615&gt;2,D615&lt;=4),192,IF(AND(L610="Vermögend und ambulant",D615&gt;1,D615&lt;=2),208,IF(AND(L610="Vermögend und ambulant",D615&gt;0,D615&lt;=1),298,IF(AND(L610="Vermögend und stationär",D615&gt;8,D615&lt;=1000),78,IF(AND(L610="Vermögend und stationär",D615&gt;4,D615&lt;=8),91,IF(AND(L610="Vermögend und stationär",D615&gt;2,D615&lt;=4),140,IF(AND(L610="Vermögend und stationär",D615&gt;1,D615&lt;=2),158,IF(AND(L610="Vermögend und stationär",D615&gt;0,D615&lt;=1),200,IF(AND(L610="Mittellos und ambulant",D615&gt;8,D615&lt;=1000),105,IF(AND(L610="Mittellos und ambulant",D615&gt;4,D615&lt;=8),122,IF(AND(L610="Mittellos und ambulant",D615&gt;2,D615&lt;=4),151,IF(AND(L610="Mittellos und ambulant",D615&gt;1,D615&lt;=2),170,IF(AND(L610="Mittellos und ambulant",D615&gt;0,D615&lt;=1),208,IF(AND(L610="Mittellos und stationär",D615&gt;8,D615&lt;=1000),62,IF(AND(L610="Mittellos und stationär",D615&gt;4,D615&lt;=8),87,IF(AND(L610="Mittellos und stationär",D615&gt;2,D615&lt;=4),124,IF(AND(L610="Mittellos und stationär",D615&gt;1,D615&lt;=2),129,IF(AND(L610="Mittellos und stationär",D615&gt;0,D615&lt;=1),194,""))))))))))))))))))))),IF(M609="Stufe B",IF(AND(L610="Auswahl treffen",D615&gt;=0,D615&lt;=1000),J609,IF(AND(L610="Vermögend und ambulant",D615&gt;8,D615&lt;=1000),161,IF(AND(L610="Vermögend und ambulant",D615&gt;4,D615&lt;=8),196,IF(AND(L610="Vermögend und ambulant",D615&gt;2,D615&lt;=4),238,IF(AND(L610="Vermögend und ambulant",D615&gt;1,D615&lt;=2),258,IF(AND(L610="Vermögend und ambulant",D615&gt;0,D615&lt;=1),370,IF(AND(L610="Vermögend und stationär",D615&gt;8,D615&lt;=1000),96,IF(AND(L610="Vermögend und stationär",D615&gt;4,D615&lt;=8),113,IF(AND(L610="Vermögend und stationär",D615&gt;2,D615&lt;=4),174,IF(AND(L610="Vermögend und stationär",D615&gt;1,D615&lt;=2),196,IF(AND(L610="Vermögend und stationär",D615&gt;0,D615&lt;=1),249,IF(AND(L610="Mittellos und ambulant",D615&gt;8,D615&lt;=1000),130,IF(AND(L610="Mittellos und ambulant",D615&gt;4,D615&lt;=8),151,IF(AND(L610="Mittellos und ambulant",D615&gt;2,D615&lt;=4),188,IF(AND(L610="Mittellos und ambulant",D615&gt;1,D615&lt;=2),211,IF(AND(L610="Mittellos und ambulant",D615&gt;0,D615&lt;=1),258,IF(AND(L610="Mittellos und stationär",D615&gt;8,D615&lt;=1000),78,IF(AND(L610="Mittellos und stationär",D615&gt;4,D615&lt;=8),107,IF(AND(L610="Mittellos und stationär",D615&gt;2,D615&lt;=4),154,IF(AND(L610="Mittellos und stationär",D615&gt;1,D615&lt;=2),158,IF(AND(L610="Mittellos und stationär",D615&gt;0,D615&lt;=1),241,""))))))))))))))))))))),IF(M609="Stufe C",IF(AND(L610="Auswahl treffen",D615&gt;=0,D615&lt;=1000),J609,IF(AND(L610="Vermögend und ambulant",D615&gt;8,D615&lt;=1000),211,IF(AND(L610="Vermögend und ambulant",D615&gt;4,D615&lt;=8),257,IF(AND(L610="Vermögend und ambulant",D615&gt;2,D615&lt;=4),312,IF(AND(L610="Vermögend und ambulant",D615&gt;1,D615&lt;=2),339,IF(AND(L610="Vermögend und ambulant",D615&gt;0,D615&lt;=1),486,IF(AND(L610="Vermögend und stationär",D615&gt;8,D615&lt;=1000),127,IF(AND(L610="Vermögend und stationär",D615&gt;4,D615&lt;=8),149,IF(AND(L610="Vermögend und stationär",D615&gt;2,D615&lt;=4),229,IF(AND(L610="Vermögend und stationär",D615&gt;1,D615&lt;=2),257,IF(AND(L610="Vermögend und stationär",D615&gt;0,D615&lt;=1),327,IF(AND(L610="Mittellos und ambulant",D615&gt;8,D615&lt;=1000),171,IF(AND(L610="Mittellos und ambulant",D615&gt;4,D615&lt;=8),198,IF(AND(L610="Mittellos und ambulant",D615&gt;2,D615&lt;=4),246,IF(AND(L610="Mittellos und ambulant",D615&gt;1,D615&lt;=2),277,IF(AND(L610="Mittellos und ambulant",D615&gt;0,D615&lt;=1),339,IF(AND(L610="Mittellos und stationär",D615&gt;8,D615&lt;=1000),102,IF(AND(L610="Mittellos und stationär",D615&gt;4,D615&lt;=8),141,IF(AND(L610="Mittellos und stationär",D615&gt;2,D615&lt;=4),202,IF(AND(L610="Mittellos und stationär",D615&gt;1,D615&lt;=2),208,IF(AND(L610="Mittellos und stationär",D615&gt;0,D615&lt;=1),317,""))))))))))))))))))))),"")))*3+(J609*90)</f>
        <v>#NUM!</v>
      </c>
      <c r="M616" s="507" t="str">
        <f>CONCATENATE(K616, K615)</f>
        <v>+Inflat.-P</v>
      </c>
      <c r="N616" s="206"/>
      <c r="O616" s="207"/>
      <c r="P616" s="206" t="s">
        <v>118</v>
      </c>
      <c r="Q616" s="226"/>
      <c r="R616" s="189"/>
      <c r="S616" s="203"/>
      <c r="T616" s="203"/>
      <c r="U616" s="204"/>
      <c r="V616" s="192"/>
      <c r="W616" s="203"/>
      <c r="X616" s="203"/>
      <c r="Y616" s="204"/>
      <c r="Z616" s="192"/>
      <c r="AA616" s="209" t="s">
        <v>118</v>
      </c>
      <c r="AB616" s="209" t="s">
        <v>117</v>
      </c>
      <c r="AC616" s="204" t="s">
        <v>26</v>
      </c>
      <c r="AD616" s="192"/>
      <c r="AE616" s="203"/>
      <c r="AF616" s="203"/>
      <c r="AG616" s="204"/>
      <c r="AH616" s="193"/>
      <c r="AI616" s="203"/>
      <c r="AJ616" s="203"/>
      <c r="AK616" s="375"/>
      <c r="AL616" s="348" t="s">
        <v>150</v>
      </c>
      <c r="AM616" s="354"/>
      <c r="AN616" s="354"/>
      <c r="AO616" s="354">
        <f>IF(SUM(P610:P618)=SUM(AA610:AA618), 0, SUM(P610:P618)-SUM(AA610:AA618))</f>
        <v>0</v>
      </c>
      <c r="AP616" s="354"/>
      <c r="AQ616" s="350">
        <f>AM616+AN616+AO616+AP616</f>
        <v>0</v>
      </c>
      <c r="AR616" s="769"/>
      <c r="AS616" s="769"/>
      <c r="AT616" s="769"/>
      <c r="BM616" s="335"/>
    </row>
    <row r="617" spans="1:65" ht="22.25" customHeight="1">
      <c r="A617" s="181">
        <f t="shared" si="207"/>
        <v>45292</v>
      </c>
      <c r="B617" s="486"/>
      <c r="C617" s="489" t="s">
        <v>158</v>
      </c>
      <c r="D617" s="522" t="e">
        <f>D615+1</f>
        <v>#NUM!</v>
      </c>
      <c r="E617" s="211" t="e">
        <f>DATE(YEAR(E616),MONTH(E616),DAY(E616)+1)</f>
        <v>#NUM!</v>
      </c>
      <c r="F617" s="227" t="e">
        <f t="shared" si="215"/>
        <v>#NUM!</v>
      </c>
      <c r="G617" s="228" t="e">
        <f t="shared" si="216"/>
        <v>#NUM!</v>
      </c>
      <c r="H617" s="227" t="e">
        <f t="shared" si="217"/>
        <v>#NUM!</v>
      </c>
      <c r="I617" s="231">
        <f>IF(J616&lt;13,J616,"")</f>
        <v>3</v>
      </c>
      <c r="J617" s="230">
        <f>J618+3</f>
        <v>9</v>
      </c>
      <c r="K617" s="506" t="str">
        <f t="shared" si="208"/>
        <v/>
      </c>
      <c r="L617" s="471"/>
      <c r="M617" s="473" t="e">
        <f ca="1">SUM(J610-E618)&amp;" Tage"</f>
        <v>#NUM!</v>
      </c>
      <c r="N617" s="216"/>
      <c r="O617" s="188"/>
      <c r="P617" s="188"/>
      <c r="Q617" s="217"/>
      <c r="R617" s="189"/>
      <c r="S617" s="190"/>
      <c r="T617" s="190"/>
      <c r="U617" s="191"/>
      <c r="V617" s="192"/>
      <c r="W617" s="190"/>
      <c r="X617" s="190"/>
      <c r="Y617" s="191"/>
      <c r="Z617" s="192"/>
      <c r="AA617" s="190"/>
      <c r="AB617" s="190"/>
      <c r="AC617" s="191"/>
      <c r="AD617" s="192"/>
      <c r="AE617" s="190"/>
      <c r="AF617" s="190"/>
      <c r="AG617" s="191"/>
      <c r="AH617" s="193"/>
      <c r="AI617" s="190"/>
      <c r="AJ617" s="190"/>
      <c r="AK617" s="374"/>
      <c r="AL617" s="348"/>
      <c r="AM617" s="354"/>
      <c r="AN617" s="354"/>
      <c r="AO617" s="354"/>
      <c r="AP617" s="354"/>
      <c r="AQ617" s="350"/>
      <c r="AR617" s="769"/>
      <c r="AS617" s="769"/>
      <c r="AT617" s="769"/>
      <c r="BM617" s="335"/>
    </row>
    <row r="618" spans="1:65" ht="22.25" customHeight="1">
      <c r="A618" s="181">
        <f t="shared" si="207"/>
        <v>45292</v>
      </c>
      <c r="B618" s="485"/>
      <c r="C618" s="490"/>
      <c r="D618" s="521"/>
      <c r="E618" s="218" t="e">
        <f>DATE(YEAR(E617),MONTH(E617)+3,DAY(E617)-1)</f>
        <v>#NUM!</v>
      </c>
      <c r="F618" s="227" t="e">
        <f t="shared" si="215"/>
        <v>#NUM!</v>
      </c>
      <c r="G618" s="228" t="e">
        <f t="shared" si="216"/>
        <v>#NUM!</v>
      </c>
      <c r="H618" s="227" t="e">
        <f t="shared" si="217"/>
        <v>#NUM!</v>
      </c>
      <c r="I618" s="231">
        <f>IF(J615&lt;13,J615,"")</f>
        <v>0</v>
      </c>
      <c r="J618" s="230">
        <f>J616+3</f>
        <v>6</v>
      </c>
      <c r="K618" s="501" t="str">
        <f t="shared" si="208"/>
        <v>+Inflat.-P</v>
      </c>
      <c r="L618" s="508" t="e">
        <f>IF(M609="Stufe A",IF(AND(L610="Auswahl treffen",D617&gt;=0,D617&lt;=1000),J609,IF(AND(L610="Vermögend und ambulant",D617&gt;8,D617&lt;=1000),130,IF(AND(L610="Vermögend und ambulant",D617&gt;4,D617&lt;=8),158,IF(AND(L610="Vermögend und ambulant",D617&gt;2,D617&lt;=4),192,IF(AND(L610="Vermögend und ambulant",D617&gt;1,D617&lt;=2),208,IF(AND(L610="Vermögend und ambulant",D617&gt;0,D617&lt;=1),298,IF(AND(L610="Vermögend und stationär",D617&gt;8,D617&lt;=1000),78,IF(AND(L610="Vermögend und stationär",D617&gt;4,D617&lt;=8),91,IF(AND(L610="Vermögend und stationär",D617&gt;2,D617&lt;=4),140,IF(AND(L610="Vermögend und stationär",D617&gt;1,D617&lt;=2),158,IF(AND(L610="Vermögend und stationär",D617&gt;0,D617&lt;=1),200,IF(AND(L610="Mittellos und ambulant",D617&gt;8,D617&lt;=1000),105,IF(AND(L610="Mittellos und ambulant",D617&gt;4,D617&lt;=8),122,IF(AND(L610="Mittellos und ambulant",D617&gt;2,D617&lt;=4),151,IF(AND(L610="Mittellos und ambulant",D617&gt;1,D617&lt;=2),170,IF(AND(L610="Mittellos und ambulant",D617&gt;0,D617&lt;=1),208,IF(AND(L610="Mittellos und stationär",D617&gt;8,D617&lt;=1000),62,IF(AND(L610="Mittellos und stationär",D617&gt;4,D617&lt;=8),87,IF(AND(L610="Mittellos und stationär",D617&gt;2,D617&lt;=4),124,IF(AND(L610="Mittellos und stationär",D617&gt;1,D617&lt;=2),129,IF(AND(L610="Mittellos und stationär",D617&gt;0,D617&lt;=1),194,""))))))))))))))))))))),IF(M609="Stufe B",IF(AND(L610="Auswahl treffen",D617&gt;=0,D617&lt;=1000),J609,IF(AND(L610="Vermögend und ambulant",D617&gt;8,D617&lt;=1000),161,IF(AND(L610="Vermögend und ambulant",D617&gt;4,D617&lt;=8),196,IF(AND(L610="Vermögend und ambulant",D617&gt;2,D617&lt;=4),238,IF(AND(L610="Vermögend und ambulant",D617&gt;1,D617&lt;=2),258,IF(AND(L610="Vermögend und ambulant",D617&gt;0,D617&lt;=1),370,IF(AND(L610="Vermögend und stationär",D617&gt;8,D617&lt;=1000),96,IF(AND(L610="Vermögend und stationär",D617&gt;4,D617&lt;=8),113,IF(AND(L610="Vermögend und stationär",D617&gt;2,D617&lt;=4),174,IF(AND(L610="Vermögend und stationär",D617&gt;1,D617&lt;=2),196,IF(AND(L610="Vermögend und stationär",D617&gt;0,D617&lt;=1),249,IF(AND(L610="Mittellos und ambulant",D617&gt;8,D617&lt;=1000),130,IF(AND(L610="Mittellos und ambulant",D617&gt;4,D617&lt;=8),151,IF(AND(L610="Mittellos und ambulant",D617&gt;2,D617&lt;=4),188,IF(AND(L610="Mittellos und ambulant",D617&gt;1,D617&lt;=2),211,IF(AND(L610="Mittellos und ambulant",D617&gt;0,D617&lt;=1),258,IF(AND(L610="Mittellos und stationär",D617&gt;8,D617&lt;=1000),78,IF(AND(L610="Mittellos und stationär",D617&gt;4,D617&lt;=8),107,IF(AND(L610="Mittellos und stationär",D617&gt;2,D617&lt;=4),154,IF(AND(L610="Mittellos und stationär",D617&gt;1,D617&lt;=2),158,IF(AND(L610="Mittellos und stationär",D617&gt;0,D617&lt;=1),241,""))))))))))))))))))))),IF(M609="Stufe C",IF(AND(L610="Auswahl treffen",D617&gt;=0,D617&lt;=1000),J609,IF(AND(L610="Vermögend und ambulant",D617&gt;8,D617&lt;=1000),211,IF(AND(L610="Vermögend und ambulant",D617&gt;4,D617&lt;=8),257,IF(AND(L610="Vermögend und ambulant",D617&gt;2,D617&lt;=4),312,IF(AND(L610="Vermögend und ambulant",D617&gt;1,D617&lt;=2),339,IF(AND(L610="Vermögend und ambulant",D617&gt;0,D617&lt;=1),486,IF(AND(L610="Vermögend und stationär",D617&gt;8,D617&lt;=1000),127,IF(AND(L610="Vermögend und stationär",D617&gt;4,D617&lt;=8),149,IF(AND(L610="Vermögend und stationär",D617&gt;2,D617&lt;=4),229,IF(AND(L610="Vermögend und stationär",D617&gt;1,D617&lt;=2),257,IF(AND(L610="Vermögend und stationär",D617&gt;0,D617&lt;=1),327,IF(AND(L610="Mittellos und ambulant",D617&gt;8,D617&lt;=1000),171,IF(AND(L610="Mittellos und ambulant",D617&gt;4,D617&lt;=8),198,IF(AND(L610="Mittellos und ambulant",D617&gt;2,D617&lt;=4),246,IF(AND(L610="Mittellos und ambulant",D617&gt;1,D617&lt;=2),277,IF(AND(L610="Mittellos und ambulant",D617&gt;0,D617&lt;=1),339,IF(AND(L610="Mittellos und stationär",D617&gt;8,D617&lt;=1000),102,IF(AND(L610="Mittellos und stationär",D617&gt;4,D617&lt;=8),141,IF(AND(L610="Mittellos und stationär",D617&gt;2,D617&lt;=4),202,IF(AND(L610="Mittellos und stationär",D617&gt;1,D617&lt;=2),208,IF(AND(L610="Mittellos und stationär",D617&gt;0,D617&lt;=1),317,""))))))))))))))))))))),"")))*3+(J609*90)</f>
        <v>#NUM!</v>
      </c>
      <c r="M618" s="507" t="str">
        <f>CONCATENATE(K618, K617)</f>
        <v>+Inflat.-P</v>
      </c>
      <c r="N618" s="216"/>
      <c r="O618" s="188"/>
      <c r="P618" s="188"/>
      <c r="Q618" s="217" t="s">
        <v>118</v>
      </c>
      <c r="R618" s="189"/>
      <c r="S618" s="190"/>
      <c r="T618" s="190"/>
      <c r="U618" s="191"/>
      <c r="V618" s="192"/>
      <c r="W618" s="190"/>
      <c r="X618" s="190"/>
      <c r="Y618" s="191"/>
      <c r="Z618" s="192"/>
      <c r="AA618" s="190"/>
      <c r="AB618" s="190"/>
      <c r="AC618" s="191"/>
      <c r="AD618" s="192"/>
      <c r="AE618" s="190" t="s">
        <v>118</v>
      </c>
      <c r="AF618" s="190" t="s">
        <v>117</v>
      </c>
      <c r="AG618" s="191" t="s">
        <v>26</v>
      </c>
      <c r="AH618" s="193"/>
      <c r="AI618" s="190" t="s">
        <v>118</v>
      </c>
      <c r="AJ618" s="190" t="s">
        <v>117</v>
      </c>
      <c r="AK618" s="374" t="s">
        <v>26</v>
      </c>
      <c r="AL618" s="348" t="s">
        <v>151</v>
      </c>
      <c r="AM618" s="354"/>
      <c r="AN618" s="354"/>
      <c r="AO618" s="354"/>
      <c r="AP618" s="354">
        <f>IF(SUM(Q610:Q618)=SUM(AE610:AE618,AI610:AI618), 0, SUM(Q610:Q618)-SUM(AE610:AE618,AI610:AI618))</f>
        <v>0</v>
      </c>
      <c r="AQ618" s="350">
        <f>AM618+AN618+AO618+AP618</f>
        <v>0</v>
      </c>
      <c r="AR618" s="769"/>
      <c r="AS618" s="769"/>
      <c r="AT618" s="769"/>
      <c r="BM618" s="335"/>
    </row>
    <row r="619" spans="1:65" ht="22" customHeight="1">
      <c r="A619" s="181">
        <f t="shared" si="207"/>
        <v>45292</v>
      </c>
      <c r="B619" s="232" t="s">
        <v>74</v>
      </c>
      <c r="C619" s="233" t="s">
        <v>75</v>
      </c>
      <c r="D619" s="234" t="s">
        <v>76</v>
      </c>
      <c r="E619" s="235" t="s">
        <v>11</v>
      </c>
      <c r="F619" s="235" t="s">
        <v>4</v>
      </c>
      <c r="G619" s="235" t="s">
        <v>5</v>
      </c>
      <c r="H619" s="235" t="s">
        <v>6</v>
      </c>
      <c r="I619" s="236" t="s">
        <v>77</v>
      </c>
      <c r="J619" s="306"/>
      <c r="K619" s="506" t="str">
        <f t="shared" si="208"/>
        <v/>
      </c>
      <c r="L619" s="306" t="str">
        <f>IFERROR(VLOOKUP(B620,'Aktuelle Einnahmen'!A2:J104,10,0),"")</f>
        <v/>
      </c>
      <c r="M619" s="510" t="str">
        <f>M609</f>
        <v>Stufe C</v>
      </c>
      <c r="N619" s="237"/>
      <c r="O619" s="238"/>
      <c r="P619" s="238"/>
      <c r="Q619" s="239"/>
      <c r="R619" s="240"/>
      <c r="S619" s="241"/>
      <c r="T619" s="241"/>
      <c r="U619" s="242"/>
      <c r="V619" s="243"/>
      <c r="W619" s="241"/>
      <c r="X619" s="241"/>
      <c r="Y619" s="242"/>
      <c r="Z619" s="243"/>
      <c r="AA619" s="241"/>
      <c r="AB619" s="241"/>
      <c r="AC619" s="242"/>
      <c r="AD619" s="243"/>
      <c r="AE619" s="241"/>
      <c r="AF619" s="241"/>
      <c r="AG619" s="242"/>
      <c r="AH619" s="240"/>
      <c r="AI619" s="241"/>
      <c r="AJ619" s="241"/>
      <c r="AK619" s="377"/>
      <c r="AL619" s="347"/>
      <c r="AM619" s="353"/>
      <c r="AN619" s="353"/>
      <c r="AO619" s="353"/>
      <c r="AP619" s="353"/>
      <c r="AQ619" s="349"/>
      <c r="AR619" s="768"/>
      <c r="AS619" s="768"/>
      <c r="AT619" s="768"/>
      <c r="BM619" s="335"/>
    </row>
    <row r="620" spans="1:65" ht="23" customHeight="1">
      <c r="A620" s="181">
        <f t="shared" si="207"/>
        <v>45292</v>
      </c>
      <c r="B620" s="182">
        <v>62</v>
      </c>
      <c r="C620" s="245">
        <f>IFERROR(VLOOKUP($B620,'Aktuelle Einnahmen'!A2:G104,3,0),"")</f>
        <v>0</v>
      </c>
      <c r="D620" s="246">
        <f>IFERROR(VLOOKUP($B620,'Aktuelle Einnahmen'!A2:G104,2,0),"")</f>
        <v>0</v>
      </c>
      <c r="E620" s="247">
        <f>IFERROR(VLOOKUP($B620,'Aktuelle Einnahmen'!A2:G104,4,0),"")</f>
        <v>0</v>
      </c>
      <c r="F620" s="94">
        <f>IFERROR(VLOOKUP($B620,'Aktuelle Einnahmen'!A2:G104,5,0),"")</f>
        <v>0</v>
      </c>
      <c r="G620" s="94">
        <f>IFERROR(VLOOKUP($B620,'Aktuelle Einnahmen'!A2:G104,6,0),"")</f>
        <v>0</v>
      </c>
      <c r="H620" s="94">
        <f>IFERROR(VLOOKUP($B620,'Aktuelle Einnahmen'!A2:G104,7,0),"")</f>
        <v>0</v>
      </c>
      <c r="I620" s="186" t="e">
        <f>DATE(H620,G620,F620)</f>
        <v>#NUM!</v>
      </c>
      <c r="J620" s="472">
        <f ca="1">J610</f>
        <v>45475</v>
      </c>
      <c r="K620" s="501" t="str">
        <f t="shared" si="208"/>
        <v>+Inflat.-P</v>
      </c>
      <c r="L620" s="1262" t="str">
        <f>IFERROR(VLOOKUP(B620,'Aktuelle Einnahmen'!A22:I124,9,0),"")</f>
        <v>Auswahl treffen</v>
      </c>
      <c r="M620" s="1263"/>
      <c r="N620" s="261"/>
      <c r="O620" s="261"/>
      <c r="P620" s="261"/>
      <c r="Q620" s="261"/>
      <c r="R620" s="189"/>
      <c r="S620" s="190"/>
      <c r="T620" s="190"/>
      <c r="U620" s="191"/>
      <c r="V620" s="192"/>
      <c r="W620" s="190"/>
      <c r="X620" s="190"/>
      <c r="Y620" s="191"/>
      <c r="Z620" s="192"/>
      <c r="AA620" s="190"/>
      <c r="AB620" s="190"/>
      <c r="AC620" s="191"/>
      <c r="AD620" s="192"/>
      <c r="AE620" s="190"/>
      <c r="AF620" s="190"/>
      <c r="AG620" s="191"/>
      <c r="AH620" s="193"/>
      <c r="AI620" s="190"/>
      <c r="AJ620" s="190"/>
      <c r="AK620" s="374"/>
      <c r="AL620" s="348"/>
      <c r="AM620" s="354"/>
      <c r="AN620" s="354"/>
      <c r="AO620" s="354"/>
      <c r="AP620" s="354"/>
      <c r="AQ620" s="350"/>
      <c r="AR620" s="769"/>
      <c r="AS620" s="769"/>
      <c r="AT620" s="769"/>
      <c r="BM620" s="335"/>
    </row>
    <row r="621" spans="1:65" ht="22.25" customHeight="1">
      <c r="A621" s="181">
        <f t="shared" si="207"/>
        <v>45292</v>
      </c>
      <c r="B621" s="484" t="e">
        <f>DAY(I620)</f>
        <v>#NUM!</v>
      </c>
      <c r="C621" s="489" t="s">
        <v>158</v>
      </c>
      <c r="D621" s="520" t="e">
        <f>(I621*4)+J621/3+1</f>
        <v>#NUM!</v>
      </c>
      <c r="E621" s="194" t="e">
        <f>J623+1</f>
        <v>#NUM!</v>
      </c>
      <c r="F621" s="195" t="e">
        <f t="shared" ref="F621:F628" si="218">DAY(E621)</f>
        <v>#NUM!</v>
      </c>
      <c r="G621" s="196" t="e">
        <f t="shared" ref="G621:G628" si="219">MONTH(E621)</f>
        <v>#NUM!</v>
      </c>
      <c r="H621" s="195" t="e">
        <f t="shared" ref="H621:H628" si="220">YEAR(E621)</f>
        <v>#NUM!</v>
      </c>
      <c r="I621" s="197" t="e">
        <f>H621-(H620+2000)</f>
        <v>#NUM!</v>
      </c>
      <c r="J621" s="198" t="e">
        <f>G621-G620</f>
        <v>#NUM!</v>
      </c>
      <c r="K621" s="506" t="str">
        <f>L619</f>
        <v/>
      </c>
      <c r="L621" s="469"/>
      <c r="M621" s="473" t="e">
        <f ca="1">SUM(J620-E622)&amp;" Tage"</f>
        <v>#NUM!</v>
      </c>
      <c r="N621" s="206"/>
      <c r="O621" s="201"/>
      <c r="P621" s="201"/>
      <c r="Q621" s="202"/>
      <c r="R621" s="189"/>
      <c r="S621" s="203"/>
      <c r="T621" s="203"/>
      <c r="U621" s="204"/>
      <c r="V621" s="192"/>
      <c r="W621" s="203"/>
      <c r="X621" s="203"/>
      <c r="Y621" s="204"/>
      <c r="Z621" s="192"/>
      <c r="AA621" s="203"/>
      <c r="AB621" s="203"/>
      <c r="AC621" s="204"/>
      <c r="AD621" s="192"/>
      <c r="AE621" s="203"/>
      <c r="AF621" s="203"/>
      <c r="AG621" s="204"/>
      <c r="AH621" s="193"/>
      <c r="AI621" s="203"/>
      <c r="AJ621" s="203"/>
      <c r="AK621" s="375"/>
      <c r="AL621" s="348"/>
      <c r="AM621" s="354"/>
      <c r="AN621" s="354"/>
      <c r="AO621" s="354"/>
      <c r="AP621" s="354"/>
      <c r="AQ621" s="350"/>
      <c r="AR621" s="769"/>
      <c r="AS621" s="769"/>
      <c r="AT621" s="769"/>
      <c r="BM621" s="335"/>
    </row>
    <row r="622" spans="1:65" ht="22.25" customHeight="1">
      <c r="A622" s="181">
        <f t="shared" si="207"/>
        <v>45292</v>
      </c>
      <c r="B622" s="485"/>
      <c r="C622" s="490"/>
      <c r="D622" s="521"/>
      <c r="E622" s="194" t="e">
        <f>DATE(YEAR(E621),MONTH(E621)+3,DAY(E621)-1)</f>
        <v>#NUM!</v>
      </c>
      <c r="F622" s="195" t="e">
        <f t="shared" si="218"/>
        <v>#NUM!</v>
      </c>
      <c r="G622" s="196" t="e">
        <f t="shared" si="219"/>
        <v>#NUM!</v>
      </c>
      <c r="H622" s="195" t="e">
        <f t="shared" si="220"/>
        <v>#NUM!</v>
      </c>
      <c r="I622" s="244">
        <v>-1</v>
      </c>
      <c r="J622" s="198" t="e">
        <f>F621-F620</f>
        <v>#NUM!</v>
      </c>
      <c r="K622" s="506" t="str">
        <f t="shared" si="208"/>
        <v>+Inflat.-P</v>
      </c>
      <c r="L622" s="511" t="e">
        <f>IF(M619="Stufe A",IF(AND(L620="Auswahl treffen",D621&gt;=0,D621&lt;=1000),J619,IF(AND(L620="Vermögend und ambulant",D621&gt;8,D621&lt;=1000),130,IF(AND(L620="Vermögend und ambulant",D621&gt;4,D621&lt;=8),158,IF(AND(L620="Vermögend und ambulant",D621&gt;2,D621&lt;=4),192,IF(AND(L620="Vermögend und ambulant",D621&gt;1,D621&lt;=2),208,IF(AND(L620="Vermögend und ambulant",D621&gt;0,D621&lt;=1),298,IF(AND(L620="Vermögend und stationär",D621&gt;8,D621&lt;=1000),78,IF(AND(L620="Vermögend und stationär",D621&gt;4,D621&lt;=8),91,IF(AND(L620="Vermögend und stationär",D621&gt;2,D621&lt;=4),140,IF(AND(L620="Vermögend und stationär",D621&gt;1,D621&lt;=2),158,IF(AND(L620="Vermögend und stationär",D621&gt;0,D621&lt;=1),200,IF(AND(L620="Mittellos und ambulant",D621&gt;8,D621&lt;=1000),105,IF(AND(L620="Mittellos und ambulant",D621&gt;4,D621&lt;=8),122,IF(AND(L620="Mittellos und ambulant",D621&gt;2,D621&lt;=4),151,IF(AND(L620="Mittellos und ambulant",D621&gt;1,D621&lt;=2),170,IF(AND(L620="Mittellos und ambulant",D621&gt;0,D621&lt;=1),208,IF(AND(L620="Mittellos und stationär",D621&gt;8,D621&lt;=1000),62,IF(AND(L620="Mittellos und stationär",D621&gt;4,D621&lt;=8),87,IF(AND(L620="Mittellos und stationär",D621&gt;2,D621&lt;=4),124,IF(AND(L620="Mittellos und stationär",D621&gt;1,D621&lt;=2),129,IF(AND(L620="Mittellos und stationär",D621&gt;0,D621&lt;=1),194,""))))))))))))))))))))),IF(M619="Stufe B",IF(AND(L620="Auswahl treffen",D621&gt;=0,D621&lt;=1000),J619,IF(AND(L620="Vermögend und ambulant",D621&gt;8,D621&lt;=1000),161,IF(AND(L620="Vermögend und ambulant",D621&gt;4,D621&lt;=8),196,IF(AND(L620="Vermögend und ambulant",D621&gt;2,D621&lt;=4),238,IF(AND(L620="Vermögend und ambulant",D621&gt;1,D621&lt;=2),258,IF(AND(L620="Vermögend und ambulant",D621&gt;0,D621&lt;=1),370,IF(AND(L620="Vermögend und stationär",D621&gt;8,D621&lt;=1000),96,IF(AND(L620="Vermögend und stationär",D621&gt;4,D621&lt;=8),113,IF(AND(L620="Vermögend und stationär",D621&gt;2,D621&lt;=4),174,IF(AND(L620="Vermögend und stationär",D621&gt;1,D621&lt;=2),196,IF(AND(L620="Vermögend und stationär",D621&gt;0,D621&lt;=1),249,IF(AND(L620="Mittellos und ambulant",D621&gt;8,D621&lt;=1000),130,IF(AND(L620="Mittellos und ambulant",D621&gt;4,D621&lt;=8),151,IF(AND(L620="Mittellos und ambulant",D621&gt;2,D621&lt;=4),188,IF(AND(L620="Mittellos und ambulant",D621&gt;1,D621&lt;=2),211,IF(AND(L620="Mittellos und ambulant",D621&gt;0,D621&lt;=1),258,IF(AND(L620="Mittellos und stationär",D621&gt;8,D621&lt;=1000),78,IF(AND(L620="Mittellos und stationär",D621&gt;4,D621&lt;=8),107,IF(AND(L620="Mittellos und stationär",D621&gt;2,D621&lt;=4),154,IF(AND(L620="Mittellos und stationär",D621&gt;1,D621&lt;=2),158,IF(AND(L620="Mittellos und stationär",D621&gt;0,D621&lt;=1),241,""))))))))))))))))))))),IF(M619="Stufe C",IF(AND(L620="Auswahl treffen",D621&gt;=0,D621&lt;=1000),J619,IF(AND(L620="Vermögend und ambulant",D621&gt;8,D621&lt;=1000),211,IF(AND(L620="Vermögend und ambulant",D621&gt;4,D621&lt;=8),257,IF(AND(L620="Vermögend und ambulant",D621&gt;2,D621&lt;=4),312,IF(AND(L620="Vermögend und ambulant",D621&gt;1,D621&lt;=2),339,IF(AND(L620="Vermögend und ambulant",D621&gt;0,D621&lt;=1),486,IF(AND(L620="Vermögend und stationär",D621&gt;8,D621&lt;=1000),127,IF(AND(L620="Vermögend und stationär",D621&gt;4,D621&lt;=8),149,IF(AND(L620="Vermögend und stationär",D621&gt;2,D621&lt;=4),229,IF(AND(L620="Vermögend und stationär",D621&gt;1,D621&lt;=2),257,IF(AND(L620="Vermögend und stationär",D621&gt;0,D621&lt;=1),327,IF(AND(L620="Mittellos und ambulant",D621&gt;8,D621&lt;=1000),171,IF(AND(L620="Mittellos und ambulant",D621&gt;4,D621&lt;=8),198,IF(AND(L620="Mittellos und ambulant",D621&gt;2,D621&lt;=4),246,IF(AND(L620="Mittellos und ambulant",D621&gt;1,D621&lt;=2),277,IF(AND(L620="Mittellos und ambulant",D621&gt;0,D621&lt;=1),339,IF(AND(L620="Mittellos und stationär",D621&gt;8,D621&lt;=1000),102,IF(AND(L620="Mittellos und stationär",D621&gt;4,D621&lt;=8),141,IF(AND(L620="Mittellos und stationär",D621&gt;2,D621&lt;=4),202,IF(AND(L620="Mittellos und stationär",D621&gt;1,D621&lt;=2),208,IF(AND(L620="Mittellos und stationär",D621&gt;0,D621&lt;=1),317,""))))))))))))))))))))),"")))*3+(J619*90)</f>
        <v>#NUM!</v>
      </c>
      <c r="M622" s="507" t="str">
        <f>CONCATENATE(K622, K621)</f>
        <v>+Inflat.-P</v>
      </c>
      <c r="N622" s="206" t="s">
        <v>118</v>
      </c>
      <c r="O622" s="207"/>
      <c r="P622" s="207"/>
      <c r="Q622" s="208"/>
      <c r="R622" s="187"/>
      <c r="S622" s="209" t="s">
        <v>118</v>
      </c>
      <c r="T622" s="201" t="s">
        <v>117</v>
      </c>
      <c r="U622" s="210" t="s">
        <v>26</v>
      </c>
      <c r="V622" s="192"/>
      <c r="W622" s="203"/>
      <c r="X622" s="203"/>
      <c r="Y622" s="210"/>
      <c r="Z622" s="192"/>
      <c r="AA622" s="203"/>
      <c r="AB622" s="203"/>
      <c r="AC622" s="210"/>
      <c r="AD622" s="192"/>
      <c r="AE622" s="203"/>
      <c r="AF622" s="203"/>
      <c r="AG622" s="210"/>
      <c r="AH622" s="193"/>
      <c r="AI622" s="203"/>
      <c r="AJ622" s="203"/>
      <c r="AK622" s="376"/>
      <c r="AL622" s="348" t="s">
        <v>148</v>
      </c>
      <c r="AM622" s="354">
        <f>IF(SUM(N620:N628)=SUM(S620:S628), 0, SUM(N620:N628)-SUM(S620:S628))</f>
        <v>0</v>
      </c>
      <c r="AN622" s="354"/>
      <c r="AO622" s="354"/>
      <c r="AP622" s="354"/>
      <c r="AQ622" s="350">
        <f>AM622+AN622+AO622+AP622</f>
        <v>0</v>
      </c>
      <c r="AR622" s="769"/>
      <c r="AS622" s="769"/>
      <c r="AT622" s="769"/>
      <c r="BM622" s="335"/>
    </row>
    <row r="623" spans="1:65" ht="22.25" customHeight="1">
      <c r="A623" s="181">
        <f t="shared" si="207"/>
        <v>45292</v>
      </c>
      <c r="B623" s="484" t="e">
        <f>MONTH(I620)</f>
        <v>#NUM!</v>
      </c>
      <c r="C623" s="489" t="s">
        <v>158</v>
      </c>
      <c r="D623" s="522" t="e">
        <f>D621+1</f>
        <v>#NUM!</v>
      </c>
      <c r="E623" s="211" t="e">
        <f>DATE(YEAR(E622),MONTH(E622),DAY(E622)+1)</f>
        <v>#NUM!</v>
      </c>
      <c r="F623" s="212" t="e">
        <f t="shared" si="218"/>
        <v>#NUM!</v>
      </c>
      <c r="G623" s="213" t="e">
        <f t="shared" si="219"/>
        <v>#NUM!</v>
      </c>
      <c r="H623" s="212" t="e">
        <f t="shared" si="220"/>
        <v>#NUM!</v>
      </c>
      <c r="I623" s="214" t="str">
        <f>IF(D620&lt;&gt;0,"-1T","")</f>
        <v/>
      </c>
      <c r="J623" s="215" t="e">
        <f>DATE($B625,I624,$B621)</f>
        <v>#NUM!</v>
      </c>
      <c r="K623" s="501" t="str">
        <f t="shared" si="208"/>
        <v/>
      </c>
      <c r="L623" s="470"/>
      <c r="M623" s="473" t="e">
        <f ca="1">SUM(J620-E624)&amp;" Tage"</f>
        <v>#NUM!</v>
      </c>
      <c r="N623" s="216"/>
      <c r="O623" s="217"/>
      <c r="P623" s="188"/>
      <c r="Q623" s="217"/>
      <c r="R623" s="189"/>
      <c r="S623" s="190"/>
      <c r="T623" s="190"/>
      <c r="U623" s="191"/>
      <c r="V623" s="192"/>
      <c r="W623" s="190"/>
      <c r="X623" s="190"/>
      <c r="Y623" s="191"/>
      <c r="Z623" s="192"/>
      <c r="AA623" s="190"/>
      <c r="AB623" s="190"/>
      <c r="AC623" s="191"/>
      <c r="AD623" s="192"/>
      <c r="AE623" s="190"/>
      <c r="AF623" s="190"/>
      <c r="AG623" s="191"/>
      <c r="AH623" s="193"/>
      <c r="AI623" s="190"/>
      <c r="AJ623" s="190"/>
      <c r="AK623" s="374"/>
      <c r="AL623" s="348"/>
      <c r="AM623" s="354"/>
      <c r="AN623" s="354"/>
      <c r="AO623" s="354"/>
      <c r="AP623" s="354"/>
      <c r="AQ623" s="350"/>
      <c r="AR623" s="769"/>
      <c r="AS623" s="769"/>
      <c r="AT623" s="769"/>
      <c r="BM623" s="335"/>
    </row>
    <row r="624" spans="1:65" ht="22.25" customHeight="1">
      <c r="A624" s="181">
        <f t="shared" si="207"/>
        <v>45292</v>
      </c>
      <c r="B624" s="485"/>
      <c r="C624" s="490"/>
      <c r="D624" s="521"/>
      <c r="E624" s="218" t="e">
        <f>DATE(YEAR(E623),MONTH(E623)+3,DAY(E623)-1)</f>
        <v>#NUM!</v>
      </c>
      <c r="F624" s="212" t="e">
        <f t="shared" si="218"/>
        <v>#NUM!</v>
      </c>
      <c r="G624" s="213" t="e">
        <f t="shared" si="219"/>
        <v>#NUM!</v>
      </c>
      <c r="H624" s="212" t="e">
        <f t="shared" si="220"/>
        <v>#NUM!</v>
      </c>
      <c r="I624" s="219">
        <f>MAX(I625:I628)</f>
        <v>9</v>
      </c>
      <c r="J624" s="220" t="e">
        <f>DATE(YEAR(J623)+1,MONTH(J623),DAY(J623))</f>
        <v>#NUM!</v>
      </c>
      <c r="K624" s="506" t="str">
        <f t="shared" si="208"/>
        <v>+Inflat.-P</v>
      </c>
      <c r="L624" s="508" t="e">
        <f>IF(M619="Stufe A",IF(AND(L620="Auswahl treffen",D623&gt;=0,D623&lt;=1000),J619,IF(AND(L620="Vermögend und ambulant",D623&gt;8,D623&lt;=1000),130,IF(AND(L620="Vermögend und ambulant",D623&gt;4,D623&lt;=8),158,IF(AND(L620="Vermögend und ambulant",D623&gt;2,D623&lt;=4),192,IF(AND(L620="Vermögend und ambulant",D623&gt;1,D623&lt;=2),208,IF(AND(L620="Vermögend und ambulant",D623&gt;0,D623&lt;=1),298,IF(AND(L620="Vermögend und stationär",D623&gt;8,D623&lt;=1000),78,IF(AND(L620="Vermögend und stationär",D623&gt;4,D623&lt;=8),91,IF(AND(L620="Vermögend und stationär",D623&gt;2,D623&lt;=4),140,IF(AND(L620="Vermögend und stationär",D623&gt;1,D623&lt;=2),158,IF(AND(L620="Vermögend und stationär",D623&gt;0,D623&lt;=1),200,IF(AND(L620="Mittellos und ambulant",D623&gt;8,D623&lt;=1000),105,IF(AND(L620="Mittellos und ambulant",D623&gt;4,D623&lt;=8),122,IF(AND(L620="Mittellos und ambulant",D623&gt;2,D623&lt;=4),151,IF(AND(L620="Mittellos und ambulant",D623&gt;1,D623&lt;=2),170,IF(AND(L620="Mittellos und ambulant",D623&gt;0,D623&lt;=1),208,IF(AND(L620="Mittellos und stationär",D623&gt;8,D623&lt;=1000),62,IF(AND(L620="Mittellos und stationär",D623&gt;4,D623&lt;=8),87,IF(AND(L620="Mittellos und stationär",D623&gt;2,D623&lt;=4),124,IF(AND(L620="Mittellos und stationär",D623&gt;1,D623&lt;=2),129,IF(AND(L620="Mittellos und stationär",D623&gt;0,D623&lt;=1),194,""))))))))))))))))))))),IF(M619="Stufe B",IF(AND(L620="Auswahl treffen",D623&gt;=0,D623&lt;=1000),J619,IF(AND(L620="Vermögend und ambulant",D623&gt;8,D623&lt;=1000),161,IF(AND(L620="Vermögend und ambulant",D623&gt;4,D623&lt;=8),196,IF(AND(L620="Vermögend und ambulant",D623&gt;2,D623&lt;=4),238,IF(AND(L620="Vermögend und ambulant",D623&gt;1,D623&lt;=2),258,IF(AND(L620="Vermögend und ambulant",D623&gt;0,D623&lt;=1),370,IF(AND(L620="Vermögend und stationär",D623&gt;8,D623&lt;=1000),96,IF(AND(L620="Vermögend und stationär",D623&gt;4,D623&lt;=8),113,IF(AND(L620="Vermögend und stationär",D623&gt;2,D623&lt;=4),174,IF(AND(L620="Vermögend und stationär",D623&gt;1,D623&lt;=2),196,IF(AND(L620="Vermögend und stationär",D623&gt;0,D623&lt;=1),249,IF(AND(L620="Mittellos und ambulant",D623&gt;8,D623&lt;=1000),130,IF(AND(L620="Mittellos und ambulant",D623&gt;4,D623&lt;=8),151,IF(AND(L620="Mittellos und ambulant",D623&gt;2,D623&lt;=4),188,IF(AND(L620="Mittellos und ambulant",D623&gt;1,D623&lt;=2),211,IF(AND(L620="Mittellos und ambulant",D623&gt;0,D623&lt;=1),258,IF(AND(L620="Mittellos und stationär",D623&gt;8,D623&lt;=1000),78,IF(AND(L620="Mittellos und stationär",D623&gt;4,D623&lt;=8),107,IF(AND(L620="Mittellos und stationär",D623&gt;2,D623&lt;=4),154,IF(AND(L620="Mittellos und stationär",D623&gt;1,D623&lt;=2),158,IF(AND(L620="Mittellos und stationär",D623&gt;0,D623&lt;=1),241,""))))))))))))))))))))),IF(M619="Stufe C",IF(AND(L620="Auswahl treffen",D623&gt;=0,D623&lt;=1000),J619,IF(AND(L620="Vermögend und ambulant",D623&gt;8,D623&lt;=1000),211,IF(AND(L620="Vermögend und ambulant",D623&gt;4,D623&lt;=8),257,IF(AND(L620="Vermögend und ambulant",D623&gt;2,D623&lt;=4),312,IF(AND(L620="Vermögend und ambulant",D623&gt;1,D623&lt;=2),339,IF(AND(L620="Vermögend und ambulant",D623&gt;0,D623&lt;=1),486,IF(AND(L620="Vermögend und stationär",D623&gt;8,D623&lt;=1000),127,IF(AND(L620="Vermögend und stationär",D623&gt;4,D623&lt;=8),149,IF(AND(L620="Vermögend und stationär",D623&gt;2,D623&lt;=4),229,IF(AND(L620="Vermögend und stationär",D623&gt;1,D623&lt;=2),257,IF(AND(L620="Vermögend und stationär",D623&gt;0,D623&lt;=1),327,IF(AND(L620="Mittellos und ambulant",D623&gt;8,D623&lt;=1000),171,IF(AND(L620="Mittellos und ambulant",D623&gt;4,D623&lt;=8),198,IF(AND(L620="Mittellos und ambulant",D623&gt;2,D623&lt;=4),246,IF(AND(L620="Mittellos und ambulant",D623&gt;1,D623&lt;=2),277,IF(AND(L620="Mittellos und ambulant",D623&gt;0,D623&lt;=1),339,IF(AND(L620="Mittellos und stationär",D623&gt;8,D623&lt;=1000),102,IF(AND(L620="Mittellos und stationär",D623&gt;4,D623&lt;=8),141,IF(AND(L620="Mittellos und stationär",D623&gt;2,D623&lt;=4),202,IF(AND(L620="Mittellos und stationär",D623&gt;1,D623&lt;=2),208,IF(AND(L620="Mittellos und stationär",D623&gt;0,D623&lt;=1),317,""))))))))))))))))))))),"")))*3+(J619*90)</f>
        <v>#NUM!</v>
      </c>
      <c r="M624" s="507" t="str">
        <f>CONCATENATE(K624, K623)</f>
        <v>+Inflat.-P</v>
      </c>
      <c r="N624" s="216"/>
      <c r="O624" s="188" t="s">
        <v>118</v>
      </c>
      <c r="P624" s="188"/>
      <c r="Q624" s="221"/>
      <c r="R624" s="199"/>
      <c r="S624" s="190"/>
      <c r="T624" s="190"/>
      <c r="U624" s="191"/>
      <c r="V624" s="192"/>
      <c r="W624" s="222" t="s">
        <v>118</v>
      </c>
      <c r="X624" s="222" t="s">
        <v>117</v>
      </c>
      <c r="Y624" s="191" t="s">
        <v>26</v>
      </c>
      <c r="Z624" s="192"/>
      <c r="AA624" s="190"/>
      <c r="AB624" s="190"/>
      <c r="AC624" s="191"/>
      <c r="AD624" s="192"/>
      <c r="AE624" s="190"/>
      <c r="AF624" s="190"/>
      <c r="AG624" s="191"/>
      <c r="AH624" s="193"/>
      <c r="AI624" s="190"/>
      <c r="AJ624" s="190"/>
      <c r="AK624" s="374"/>
      <c r="AL624" s="348" t="s">
        <v>149</v>
      </c>
      <c r="AM624" s="354"/>
      <c r="AN624" s="354">
        <f>IF(SUM(O620:O628)=SUM(W620:W628), 0, SUM(O620:O628)-SUM(W620:W628))</f>
        <v>0</v>
      </c>
      <c r="AO624" s="354"/>
      <c r="AP624" s="354"/>
      <c r="AQ624" s="350">
        <f>AM624+AN624+AO624+AP624</f>
        <v>0</v>
      </c>
      <c r="AR624" s="769"/>
      <c r="AS624" s="769"/>
      <c r="AT624" s="769"/>
      <c r="BM624" s="335"/>
    </row>
    <row r="625" spans="1:65" ht="22.25" customHeight="1">
      <c r="A625" s="181">
        <f t="shared" si="207"/>
        <v>45292</v>
      </c>
      <c r="B625" s="484">
        <f>YEAR($A626)-1</f>
        <v>2023</v>
      </c>
      <c r="C625" s="489" t="s">
        <v>158</v>
      </c>
      <c r="D625" s="520" t="e">
        <f>D623+1</f>
        <v>#NUM!</v>
      </c>
      <c r="E625" s="194" t="e">
        <f>DATE(YEAR(E624),MONTH(E624),DAY(E624)+1)</f>
        <v>#NUM!</v>
      </c>
      <c r="F625" s="195" t="e">
        <f t="shared" si="218"/>
        <v>#NUM!</v>
      </c>
      <c r="G625" s="196" t="e">
        <f t="shared" si="219"/>
        <v>#NUM!</v>
      </c>
      <c r="H625" s="195" t="e">
        <f t="shared" si="220"/>
        <v>#NUM!</v>
      </c>
      <c r="I625" s="197">
        <f>IF(J627&lt;13,J627,"")</f>
        <v>9</v>
      </c>
      <c r="J625" s="224">
        <f>G620</f>
        <v>0</v>
      </c>
      <c r="K625" s="501" t="str">
        <f t="shared" si="208"/>
        <v/>
      </c>
      <c r="L625" s="471"/>
      <c r="M625" s="473" t="e">
        <f ca="1">SUM(J620-E626)&amp;" Tage"</f>
        <v>#NUM!</v>
      </c>
      <c r="N625" s="200"/>
      <c r="O625" s="201"/>
      <c r="P625" s="201"/>
      <c r="Q625" s="202"/>
      <c r="R625" s="189"/>
      <c r="S625" s="203"/>
      <c r="T625" s="203"/>
      <c r="U625" s="204"/>
      <c r="V625" s="192"/>
      <c r="W625" s="203"/>
      <c r="X625" s="203"/>
      <c r="Y625" s="204"/>
      <c r="Z625" s="192"/>
      <c r="AA625" s="203"/>
      <c r="AB625" s="203"/>
      <c r="AC625" s="204"/>
      <c r="AD625" s="192"/>
      <c r="AE625" s="203"/>
      <c r="AF625" s="203"/>
      <c r="AG625" s="204"/>
      <c r="AH625" s="193"/>
      <c r="AI625" s="203"/>
      <c r="AJ625" s="203"/>
      <c r="AK625" s="375"/>
      <c r="AL625" s="348"/>
      <c r="AM625" s="354"/>
      <c r="AN625" s="354"/>
      <c r="AO625" s="354"/>
      <c r="AP625" s="354"/>
      <c r="AQ625" s="350"/>
      <c r="AR625" s="769"/>
      <c r="AS625" s="769"/>
      <c r="AT625" s="769"/>
      <c r="BM625" s="335"/>
    </row>
    <row r="626" spans="1:65" ht="22.25" customHeight="1">
      <c r="A626" s="181">
        <f t="shared" si="207"/>
        <v>45292</v>
      </c>
      <c r="B626" s="485"/>
      <c r="C626" s="490"/>
      <c r="D626" s="521"/>
      <c r="E626" s="194" t="e">
        <f>DATE(YEAR(E625),MONTH(E625)+3,DAY(E625)-1)</f>
        <v>#NUM!</v>
      </c>
      <c r="F626" s="195" t="e">
        <f t="shared" si="218"/>
        <v>#NUM!</v>
      </c>
      <c r="G626" s="196" t="e">
        <f t="shared" si="219"/>
        <v>#NUM!</v>
      </c>
      <c r="H626" s="195" t="e">
        <f t="shared" si="220"/>
        <v>#NUM!</v>
      </c>
      <c r="I626" s="244">
        <f>IF(J628&lt;13,J628,"")</f>
        <v>6</v>
      </c>
      <c r="J626" s="224">
        <f>J625+3</f>
        <v>3</v>
      </c>
      <c r="K626" s="506" t="str">
        <f t="shared" si="208"/>
        <v>+Inflat.-P</v>
      </c>
      <c r="L626" s="511" t="e">
        <f>IF(M619="Stufe A",IF(AND(L620="Auswahl treffen",D625&gt;=0,D625&lt;=1000),J619,IF(AND(L620="Vermögend und ambulant",D625&gt;8,D625&lt;=1000),130,IF(AND(L620="Vermögend und ambulant",D625&gt;4,D625&lt;=8),158,IF(AND(L620="Vermögend und ambulant",D625&gt;2,D625&lt;=4),192,IF(AND(L620="Vermögend und ambulant",D625&gt;1,D625&lt;=2),208,IF(AND(L620="Vermögend und ambulant",D625&gt;0,D625&lt;=1),298,IF(AND(L620="Vermögend und stationär",D625&gt;8,D625&lt;=1000),78,IF(AND(L620="Vermögend und stationär",D625&gt;4,D625&lt;=8),91,IF(AND(L620="Vermögend und stationär",D625&gt;2,D625&lt;=4),140,IF(AND(L620="Vermögend und stationär",D625&gt;1,D625&lt;=2),158,IF(AND(L620="Vermögend und stationär",D625&gt;0,D625&lt;=1),200,IF(AND(L620="Mittellos und ambulant",D625&gt;8,D625&lt;=1000),105,IF(AND(L620="Mittellos und ambulant",D625&gt;4,D625&lt;=8),122,IF(AND(L620="Mittellos und ambulant",D625&gt;2,D625&lt;=4),151,IF(AND(L620="Mittellos und ambulant",D625&gt;1,D625&lt;=2),170,IF(AND(L620="Mittellos und ambulant",D625&gt;0,D625&lt;=1),208,IF(AND(L620="Mittellos und stationär",D625&gt;8,D625&lt;=1000),62,IF(AND(L620="Mittellos und stationär",D625&gt;4,D625&lt;=8),87,IF(AND(L620="Mittellos und stationär",D625&gt;2,D625&lt;=4),124,IF(AND(L620="Mittellos und stationär",D625&gt;1,D625&lt;=2),129,IF(AND(L620="Mittellos und stationär",D625&gt;0,D625&lt;=1),194,""))))))))))))))))))))),IF(M619="Stufe B",IF(AND(L620="Auswahl treffen",D625&gt;=0,D625&lt;=1000),J619,IF(AND(L620="Vermögend und ambulant",D625&gt;8,D625&lt;=1000),161,IF(AND(L620="Vermögend und ambulant",D625&gt;4,D625&lt;=8),196,IF(AND(L620="Vermögend und ambulant",D625&gt;2,D625&lt;=4),238,IF(AND(L620="Vermögend und ambulant",D625&gt;1,D625&lt;=2),258,IF(AND(L620="Vermögend und ambulant",D625&gt;0,D625&lt;=1),370,IF(AND(L620="Vermögend und stationär",D625&gt;8,D625&lt;=1000),96,IF(AND(L620="Vermögend und stationär",D625&gt;4,D625&lt;=8),113,IF(AND(L620="Vermögend und stationär",D625&gt;2,D625&lt;=4),174,IF(AND(L620="Vermögend und stationär",D625&gt;1,D625&lt;=2),196,IF(AND(L620="Vermögend und stationär",D625&gt;0,D625&lt;=1),249,IF(AND(L620="Mittellos und ambulant",D625&gt;8,D625&lt;=1000),130,IF(AND(L620="Mittellos und ambulant",D625&gt;4,D625&lt;=8),151,IF(AND(L620="Mittellos und ambulant",D625&gt;2,D625&lt;=4),188,IF(AND(L620="Mittellos und ambulant",D625&gt;1,D625&lt;=2),211,IF(AND(L620="Mittellos und ambulant",D625&gt;0,D625&lt;=1),258,IF(AND(L620="Mittellos und stationär",D625&gt;8,D625&lt;=1000),78,IF(AND(L620="Mittellos und stationär",D625&gt;4,D625&lt;=8),107,IF(AND(L620="Mittellos und stationär",D625&gt;2,D625&lt;=4),154,IF(AND(L620="Mittellos und stationär",D625&gt;1,D625&lt;=2),158,IF(AND(L620="Mittellos und stationär",D625&gt;0,D625&lt;=1),241,""))))))))))))))))))))),IF(M619="Stufe C",IF(AND(L620="Auswahl treffen",D625&gt;=0,D625&lt;=1000),J619,IF(AND(L620="Vermögend und ambulant",D625&gt;8,D625&lt;=1000),211,IF(AND(L620="Vermögend und ambulant",D625&gt;4,D625&lt;=8),257,IF(AND(L620="Vermögend und ambulant",D625&gt;2,D625&lt;=4),312,IF(AND(L620="Vermögend und ambulant",D625&gt;1,D625&lt;=2),339,IF(AND(L620="Vermögend und ambulant",D625&gt;0,D625&lt;=1),486,IF(AND(L620="Vermögend und stationär",D625&gt;8,D625&lt;=1000),127,IF(AND(L620="Vermögend und stationär",D625&gt;4,D625&lt;=8),149,IF(AND(L620="Vermögend und stationär",D625&gt;2,D625&lt;=4),229,IF(AND(L620="Vermögend und stationär",D625&gt;1,D625&lt;=2),257,IF(AND(L620="Vermögend und stationär",D625&gt;0,D625&lt;=1),327,IF(AND(L620="Mittellos und ambulant",D625&gt;8,D625&lt;=1000),171,IF(AND(L620="Mittellos und ambulant",D625&gt;4,D625&lt;=8),198,IF(AND(L620="Mittellos und ambulant",D625&gt;2,D625&lt;=4),246,IF(AND(L620="Mittellos und ambulant",D625&gt;1,D625&lt;=2),277,IF(AND(L620="Mittellos und ambulant",D625&gt;0,D625&lt;=1),339,IF(AND(L620="Mittellos und stationär",D625&gt;8,D625&lt;=1000),102,IF(AND(L620="Mittellos und stationär",D625&gt;4,D625&lt;=8),141,IF(AND(L620="Mittellos und stationär",D625&gt;2,D625&lt;=4),202,IF(AND(L620="Mittellos und stationär",D625&gt;1,D625&lt;=2),208,IF(AND(L620="Mittellos und stationär",D625&gt;0,D625&lt;=1),317,""))))))))))))))))))))),"")))*3+(J619*90)</f>
        <v>#NUM!</v>
      </c>
      <c r="M626" s="507" t="str">
        <f>CONCATENATE(K626, K625)</f>
        <v>+Inflat.-P</v>
      </c>
      <c r="N626" s="206"/>
      <c r="O626" s="207"/>
      <c r="P626" s="206" t="s">
        <v>118</v>
      </c>
      <c r="Q626" s="226"/>
      <c r="R626" s="189"/>
      <c r="S626" s="203"/>
      <c r="T626" s="203"/>
      <c r="U626" s="204"/>
      <c r="V626" s="192"/>
      <c r="W626" s="203"/>
      <c r="X626" s="203"/>
      <c r="Y626" s="204"/>
      <c r="Z626" s="192"/>
      <c r="AA626" s="209" t="s">
        <v>118</v>
      </c>
      <c r="AB626" s="209" t="s">
        <v>117</v>
      </c>
      <c r="AC626" s="204" t="s">
        <v>26</v>
      </c>
      <c r="AD626" s="192"/>
      <c r="AE626" s="203"/>
      <c r="AF626" s="203"/>
      <c r="AG626" s="204"/>
      <c r="AH626" s="193"/>
      <c r="AI626" s="203"/>
      <c r="AJ626" s="203"/>
      <c r="AK626" s="375"/>
      <c r="AL626" s="348" t="s">
        <v>150</v>
      </c>
      <c r="AM626" s="354"/>
      <c r="AN626" s="354"/>
      <c r="AO626" s="354">
        <f>IF(SUM(P620:P628)=SUM(AA620:AA628), 0, SUM(P620:P628)-SUM(AA620:AA628))</f>
        <v>0</v>
      </c>
      <c r="AP626" s="354"/>
      <c r="AQ626" s="350">
        <f>AM626+AN626+AO626+AP626</f>
        <v>0</v>
      </c>
      <c r="AR626" s="769"/>
      <c r="AS626" s="769"/>
      <c r="AT626" s="769"/>
      <c r="BM626" s="335"/>
    </row>
    <row r="627" spans="1:65" ht="22.25" customHeight="1">
      <c r="A627" s="181">
        <f t="shared" si="207"/>
        <v>45292</v>
      </c>
      <c r="B627" s="486"/>
      <c r="C627" s="489" t="s">
        <v>158</v>
      </c>
      <c r="D627" s="522" t="e">
        <f>D625+1</f>
        <v>#NUM!</v>
      </c>
      <c r="E627" s="211" t="e">
        <f>DATE(YEAR(E626),MONTH(E626),DAY(E626)+1)</f>
        <v>#NUM!</v>
      </c>
      <c r="F627" s="227" t="e">
        <f t="shared" si="218"/>
        <v>#NUM!</v>
      </c>
      <c r="G627" s="228" t="e">
        <f t="shared" si="219"/>
        <v>#NUM!</v>
      </c>
      <c r="H627" s="227" t="e">
        <f t="shared" si="220"/>
        <v>#NUM!</v>
      </c>
      <c r="I627" s="231">
        <f>IF(J626&lt;13,J626,"")</f>
        <v>3</v>
      </c>
      <c r="J627" s="230">
        <f>J628+3</f>
        <v>9</v>
      </c>
      <c r="K627" s="501" t="str">
        <f t="shared" si="208"/>
        <v/>
      </c>
      <c r="L627" s="471"/>
      <c r="M627" s="473" t="e">
        <f ca="1">SUM(J620-E628)&amp;" Tage"</f>
        <v>#NUM!</v>
      </c>
      <c r="N627" s="216"/>
      <c r="O627" s="188"/>
      <c r="P627" s="188"/>
      <c r="Q627" s="217"/>
      <c r="R627" s="189"/>
      <c r="S627" s="190"/>
      <c r="T627" s="190"/>
      <c r="U627" s="191"/>
      <c r="V627" s="192"/>
      <c r="W627" s="190"/>
      <c r="X627" s="190"/>
      <c r="Y627" s="191"/>
      <c r="Z627" s="192"/>
      <c r="AA627" s="190"/>
      <c r="AB627" s="190"/>
      <c r="AC627" s="191"/>
      <c r="AD627" s="192"/>
      <c r="AE627" s="190"/>
      <c r="AF627" s="190"/>
      <c r="AG627" s="191"/>
      <c r="AH627" s="193"/>
      <c r="AI627" s="190"/>
      <c r="AJ627" s="190"/>
      <c r="AK627" s="374"/>
      <c r="AL627" s="348"/>
      <c r="AM627" s="354"/>
      <c r="AN627" s="354"/>
      <c r="AO627" s="354"/>
      <c r="AP627" s="354"/>
      <c r="AQ627" s="350"/>
      <c r="AR627" s="769"/>
      <c r="AS627" s="769"/>
      <c r="AT627" s="769"/>
      <c r="BM627" s="335"/>
    </row>
    <row r="628" spans="1:65" ht="22.25" customHeight="1">
      <c r="A628" s="181">
        <f t="shared" si="207"/>
        <v>45292</v>
      </c>
      <c r="B628" s="485"/>
      <c r="C628" s="490"/>
      <c r="D628" s="521"/>
      <c r="E628" s="218" t="e">
        <f>DATE(YEAR(E627),MONTH(E627)+3,DAY(E627)-1)</f>
        <v>#NUM!</v>
      </c>
      <c r="F628" s="227" t="e">
        <f t="shared" si="218"/>
        <v>#NUM!</v>
      </c>
      <c r="G628" s="228" t="e">
        <f t="shared" si="219"/>
        <v>#NUM!</v>
      </c>
      <c r="H628" s="227" t="e">
        <f t="shared" si="220"/>
        <v>#NUM!</v>
      </c>
      <c r="I628" s="231">
        <f>IF(J625&lt;13,J625,"")</f>
        <v>0</v>
      </c>
      <c r="J628" s="230">
        <f>J626+3</f>
        <v>6</v>
      </c>
      <c r="K628" s="501" t="str">
        <f t="shared" si="208"/>
        <v>+Inflat.-P</v>
      </c>
      <c r="L628" s="508" t="e">
        <f>IF(M619="Stufe A",IF(AND(L620="Auswahl treffen",D627&gt;=0,D627&lt;=1000),J619,IF(AND(L620="Vermögend und ambulant",D627&gt;8,D627&lt;=1000),130,IF(AND(L620="Vermögend und ambulant",D627&gt;4,D627&lt;=8),158,IF(AND(L620="Vermögend und ambulant",D627&gt;2,D627&lt;=4),192,IF(AND(L620="Vermögend und ambulant",D627&gt;1,D627&lt;=2),208,IF(AND(L620="Vermögend und ambulant",D627&gt;0,D627&lt;=1),298,IF(AND(L620="Vermögend und stationär",D627&gt;8,D627&lt;=1000),78,IF(AND(L620="Vermögend und stationär",D627&gt;4,D627&lt;=8),91,IF(AND(L620="Vermögend und stationär",D627&gt;2,D627&lt;=4),140,IF(AND(L620="Vermögend und stationär",D627&gt;1,D627&lt;=2),158,IF(AND(L620="Vermögend und stationär",D627&gt;0,D627&lt;=1),200,IF(AND(L620="Mittellos und ambulant",D627&gt;8,D627&lt;=1000),105,IF(AND(L620="Mittellos und ambulant",D627&gt;4,D627&lt;=8),122,IF(AND(L620="Mittellos und ambulant",D627&gt;2,D627&lt;=4),151,IF(AND(L620="Mittellos und ambulant",D627&gt;1,D627&lt;=2),170,IF(AND(L620="Mittellos und ambulant",D627&gt;0,D627&lt;=1),208,IF(AND(L620="Mittellos und stationär",D627&gt;8,D627&lt;=1000),62,IF(AND(L620="Mittellos und stationär",D627&gt;4,D627&lt;=8),87,IF(AND(L620="Mittellos und stationär",D627&gt;2,D627&lt;=4),124,IF(AND(L620="Mittellos und stationär",D627&gt;1,D627&lt;=2),129,IF(AND(L620="Mittellos und stationär",D627&gt;0,D627&lt;=1),194,""))))))))))))))))))))),IF(M619="Stufe B",IF(AND(L620="Auswahl treffen",D627&gt;=0,D627&lt;=1000),J619,IF(AND(L620="Vermögend und ambulant",D627&gt;8,D627&lt;=1000),161,IF(AND(L620="Vermögend und ambulant",D627&gt;4,D627&lt;=8),196,IF(AND(L620="Vermögend und ambulant",D627&gt;2,D627&lt;=4),238,IF(AND(L620="Vermögend und ambulant",D627&gt;1,D627&lt;=2),258,IF(AND(L620="Vermögend und ambulant",D627&gt;0,D627&lt;=1),370,IF(AND(L620="Vermögend und stationär",D627&gt;8,D627&lt;=1000),96,IF(AND(L620="Vermögend und stationär",D627&gt;4,D627&lt;=8),113,IF(AND(L620="Vermögend und stationär",D627&gt;2,D627&lt;=4),174,IF(AND(L620="Vermögend und stationär",D627&gt;1,D627&lt;=2),196,IF(AND(L620="Vermögend und stationär",D627&gt;0,D627&lt;=1),249,IF(AND(L620="Mittellos und ambulant",D627&gt;8,D627&lt;=1000),130,IF(AND(L620="Mittellos und ambulant",D627&gt;4,D627&lt;=8),151,IF(AND(L620="Mittellos und ambulant",D627&gt;2,D627&lt;=4),188,IF(AND(L620="Mittellos und ambulant",D627&gt;1,D627&lt;=2),211,IF(AND(L620="Mittellos und ambulant",D627&gt;0,D627&lt;=1),258,IF(AND(L620="Mittellos und stationär",D627&gt;8,D627&lt;=1000),78,IF(AND(L620="Mittellos und stationär",D627&gt;4,D627&lt;=8),107,IF(AND(L620="Mittellos und stationär",D627&gt;2,D627&lt;=4),154,IF(AND(L620="Mittellos und stationär",D627&gt;1,D627&lt;=2),158,IF(AND(L620="Mittellos und stationär",D627&gt;0,D627&lt;=1),241,""))))))))))))))))))))),IF(M619="Stufe C",IF(AND(L620="Auswahl treffen",D627&gt;=0,D627&lt;=1000),J619,IF(AND(L620="Vermögend und ambulant",D627&gt;8,D627&lt;=1000),211,IF(AND(L620="Vermögend und ambulant",D627&gt;4,D627&lt;=8),257,IF(AND(L620="Vermögend und ambulant",D627&gt;2,D627&lt;=4),312,IF(AND(L620="Vermögend und ambulant",D627&gt;1,D627&lt;=2),339,IF(AND(L620="Vermögend und ambulant",D627&gt;0,D627&lt;=1),486,IF(AND(L620="Vermögend und stationär",D627&gt;8,D627&lt;=1000),127,IF(AND(L620="Vermögend und stationär",D627&gt;4,D627&lt;=8),149,IF(AND(L620="Vermögend und stationär",D627&gt;2,D627&lt;=4),229,IF(AND(L620="Vermögend und stationär",D627&gt;1,D627&lt;=2),257,IF(AND(L620="Vermögend und stationär",D627&gt;0,D627&lt;=1),327,IF(AND(L620="Mittellos und ambulant",D627&gt;8,D627&lt;=1000),171,IF(AND(L620="Mittellos und ambulant",D627&gt;4,D627&lt;=8),198,IF(AND(L620="Mittellos und ambulant",D627&gt;2,D627&lt;=4),246,IF(AND(L620="Mittellos und ambulant",D627&gt;1,D627&lt;=2),277,IF(AND(L620="Mittellos und ambulant",D627&gt;0,D627&lt;=1),339,IF(AND(L620="Mittellos und stationär",D627&gt;8,D627&lt;=1000),102,IF(AND(L620="Mittellos und stationär",D627&gt;4,D627&lt;=8),141,IF(AND(L620="Mittellos und stationär",D627&gt;2,D627&lt;=4),202,IF(AND(L620="Mittellos und stationär",D627&gt;1,D627&lt;=2),208,IF(AND(L620="Mittellos und stationär",D627&gt;0,D627&lt;=1),317,""))))))))))))))))))))),"")))*3+(J619*90)</f>
        <v>#NUM!</v>
      </c>
      <c r="M628" s="507" t="str">
        <f>CONCATENATE(K628, K627)</f>
        <v>+Inflat.-P</v>
      </c>
      <c r="N628" s="216"/>
      <c r="O628" s="188"/>
      <c r="P628" s="188"/>
      <c r="Q628" s="217" t="s">
        <v>118</v>
      </c>
      <c r="R628" s="189"/>
      <c r="S628" s="190"/>
      <c r="T628" s="190"/>
      <c r="U628" s="191"/>
      <c r="V628" s="192"/>
      <c r="W628" s="190"/>
      <c r="X628" s="190"/>
      <c r="Y628" s="191"/>
      <c r="Z628" s="192"/>
      <c r="AA628" s="190"/>
      <c r="AB628" s="190"/>
      <c r="AC628" s="191"/>
      <c r="AD628" s="192"/>
      <c r="AE628" s="190" t="s">
        <v>118</v>
      </c>
      <c r="AF628" s="190" t="s">
        <v>117</v>
      </c>
      <c r="AG628" s="191" t="s">
        <v>26</v>
      </c>
      <c r="AH628" s="193"/>
      <c r="AI628" s="190" t="s">
        <v>118</v>
      </c>
      <c r="AJ628" s="190" t="s">
        <v>117</v>
      </c>
      <c r="AK628" s="374" t="s">
        <v>26</v>
      </c>
      <c r="AL628" s="348" t="s">
        <v>151</v>
      </c>
      <c r="AM628" s="354"/>
      <c r="AN628" s="354"/>
      <c r="AO628" s="354"/>
      <c r="AP628" s="354">
        <f>IF(SUM(Q620:Q628)=SUM(AE620:AE628,AI620:AI628), 0, SUM(Q620:Q628)-SUM(AE620:AE628,AI620:AI628))</f>
        <v>0</v>
      </c>
      <c r="AQ628" s="350">
        <f>AM628+AN628+AO628+AP628</f>
        <v>0</v>
      </c>
      <c r="AR628" s="769"/>
      <c r="AS628" s="769"/>
      <c r="AT628" s="769"/>
      <c r="BM628" s="335"/>
    </row>
    <row r="629" spans="1:65" ht="22" customHeight="1">
      <c r="A629" s="181">
        <f t="shared" si="207"/>
        <v>45292</v>
      </c>
      <c r="B629" s="232" t="s">
        <v>74</v>
      </c>
      <c r="C629" s="233" t="s">
        <v>75</v>
      </c>
      <c r="D629" s="234" t="s">
        <v>76</v>
      </c>
      <c r="E629" s="235" t="s">
        <v>11</v>
      </c>
      <c r="F629" s="235" t="s">
        <v>4</v>
      </c>
      <c r="G629" s="235" t="s">
        <v>5</v>
      </c>
      <c r="H629" s="235" t="s">
        <v>6</v>
      </c>
      <c r="I629" s="236" t="s">
        <v>77</v>
      </c>
      <c r="J629" s="306"/>
      <c r="K629" s="506" t="str">
        <f t="shared" si="208"/>
        <v/>
      </c>
      <c r="L629" s="306" t="str">
        <f>IFERROR(VLOOKUP(B630,'Aktuelle Einnahmen'!A2:J104,10,0),"")</f>
        <v/>
      </c>
      <c r="M629" s="510" t="str">
        <f>M619</f>
        <v>Stufe C</v>
      </c>
      <c r="N629" s="237"/>
      <c r="O629" s="238"/>
      <c r="P629" s="238"/>
      <c r="Q629" s="239"/>
      <c r="R629" s="240"/>
      <c r="S629" s="241"/>
      <c r="T629" s="241"/>
      <c r="U629" s="242"/>
      <c r="V629" s="243"/>
      <c r="W629" s="241"/>
      <c r="X629" s="241"/>
      <c r="Y629" s="242"/>
      <c r="Z629" s="243"/>
      <c r="AA629" s="241"/>
      <c r="AB629" s="241"/>
      <c r="AC629" s="242"/>
      <c r="AD629" s="243"/>
      <c r="AE629" s="241"/>
      <c r="AF629" s="241"/>
      <c r="AG629" s="242"/>
      <c r="AH629" s="240"/>
      <c r="AI629" s="241"/>
      <c r="AJ629" s="241"/>
      <c r="AK629" s="377"/>
      <c r="AL629" s="347"/>
      <c r="AM629" s="353"/>
      <c r="AN629" s="353"/>
      <c r="AO629" s="353"/>
      <c r="AP629" s="353"/>
      <c r="AQ629" s="349"/>
      <c r="AR629" s="768"/>
      <c r="AS629" s="768"/>
      <c r="AT629" s="768"/>
      <c r="BM629" s="335"/>
    </row>
    <row r="630" spans="1:65" ht="23" customHeight="1">
      <c r="A630" s="181">
        <f t="shared" si="207"/>
        <v>45292</v>
      </c>
      <c r="B630" s="182">
        <v>63</v>
      </c>
      <c r="C630" s="245">
        <f>IFERROR(VLOOKUP($B630,'Aktuelle Einnahmen'!A2:G104,3,0),"")</f>
        <v>0</v>
      </c>
      <c r="D630" s="246">
        <f>IFERROR(VLOOKUP($B630,'Aktuelle Einnahmen'!A2:G104,2,0),"")</f>
        <v>0</v>
      </c>
      <c r="E630" s="247">
        <f>IFERROR(VLOOKUP($B630,'Aktuelle Einnahmen'!A2:G104,4,0),"")</f>
        <v>0</v>
      </c>
      <c r="F630" s="94">
        <f>IFERROR(VLOOKUP($B630,'Aktuelle Einnahmen'!A2:G104,5,0),"")</f>
        <v>0</v>
      </c>
      <c r="G630" s="94">
        <f>IFERROR(VLOOKUP($B630,'Aktuelle Einnahmen'!A2:G104,6,0),"")</f>
        <v>0</v>
      </c>
      <c r="H630" s="94">
        <f>IFERROR(VLOOKUP($B630,'Aktuelle Einnahmen'!A2:G104,7,0),"")</f>
        <v>0</v>
      </c>
      <c r="I630" s="186" t="e">
        <f>DATE(H630,G630,F630)</f>
        <v>#NUM!</v>
      </c>
      <c r="J630" s="472">
        <f ca="1">J620</f>
        <v>45475</v>
      </c>
      <c r="K630" s="501" t="str">
        <f t="shared" si="208"/>
        <v>+Inflat.-P</v>
      </c>
      <c r="L630" s="1262" t="str">
        <f>IFERROR(VLOOKUP(B630,'Aktuelle Einnahmen'!A22:I124,9,0),"")</f>
        <v>Auswahl treffen</v>
      </c>
      <c r="M630" s="1263"/>
      <c r="N630" s="261"/>
      <c r="O630" s="261"/>
      <c r="P630" s="261"/>
      <c r="Q630" s="261"/>
      <c r="R630" s="189"/>
      <c r="S630" s="190"/>
      <c r="T630" s="190"/>
      <c r="U630" s="191"/>
      <c r="V630" s="192"/>
      <c r="W630" s="190"/>
      <c r="X630" s="190"/>
      <c r="Y630" s="191"/>
      <c r="Z630" s="192"/>
      <c r="AA630" s="190"/>
      <c r="AB630" s="190"/>
      <c r="AC630" s="191"/>
      <c r="AD630" s="192"/>
      <c r="AE630" s="190"/>
      <c r="AF630" s="190"/>
      <c r="AG630" s="191"/>
      <c r="AH630" s="193"/>
      <c r="AI630" s="190"/>
      <c r="AJ630" s="190"/>
      <c r="AK630" s="374"/>
      <c r="AL630" s="348"/>
      <c r="AM630" s="354"/>
      <c r="AN630" s="354"/>
      <c r="AO630" s="354"/>
      <c r="AP630" s="354"/>
      <c r="AQ630" s="350"/>
      <c r="AR630" s="769"/>
      <c r="AS630" s="769"/>
      <c r="AT630" s="769"/>
      <c r="BM630" s="335"/>
    </row>
    <row r="631" spans="1:65" ht="22.25" customHeight="1">
      <c r="A631" s="181">
        <f t="shared" si="207"/>
        <v>45292</v>
      </c>
      <c r="B631" s="484" t="e">
        <f>DAY(I630)</f>
        <v>#NUM!</v>
      </c>
      <c r="C631" s="489" t="s">
        <v>158</v>
      </c>
      <c r="D631" s="520" t="e">
        <f>(I631*4)+J631/3+1</f>
        <v>#NUM!</v>
      </c>
      <c r="E631" s="194" t="e">
        <f>J633+1</f>
        <v>#NUM!</v>
      </c>
      <c r="F631" s="195" t="e">
        <f t="shared" ref="F631:F638" si="221">DAY(E631)</f>
        <v>#NUM!</v>
      </c>
      <c r="G631" s="196" t="e">
        <f t="shared" ref="G631:G638" si="222">MONTH(E631)</f>
        <v>#NUM!</v>
      </c>
      <c r="H631" s="195" t="e">
        <f t="shared" ref="H631:H638" si="223">YEAR(E631)</f>
        <v>#NUM!</v>
      </c>
      <c r="I631" s="197" t="e">
        <f>H631-(H630+2000)</f>
        <v>#NUM!</v>
      </c>
      <c r="J631" s="198" t="e">
        <f>G631-G630</f>
        <v>#NUM!</v>
      </c>
      <c r="K631" s="506" t="str">
        <f>L629</f>
        <v/>
      </c>
      <c r="L631" s="469"/>
      <c r="M631" s="473" t="e">
        <f ca="1">SUM(J630-E632)&amp;" Tage"</f>
        <v>#NUM!</v>
      </c>
      <c r="N631" s="206"/>
      <c r="O631" s="201"/>
      <c r="P631" s="201"/>
      <c r="Q631" s="202"/>
      <c r="R631" s="189"/>
      <c r="S631" s="203"/>
      <c r="T631" s="203"/>
      <c r="U631" s="204"/>
      <c r="V631" s="192"/>
      <c r="W631" s="203"/>
      <c r="X631" s="203"/>
      <c r="Y631" s="204"/>
      <c r="Z631" s="192"/>
      <c r="AA631" s="203"/>
      <c r="AB631" s="203"/>
      <c r="AC631" s="204"/>
      <c r="AD631" s="192"/>
      <c r="AE631" s="203"/>
      <c r="AF631" s="203"/>
      <c r="AG631" s="204"/>
      <c r="AH631" s="193"/>
      <c r="AI631" s="203"/>
      <c r="AJ631" s="203"/>
      <c r="AK631" s="375"/>
      <c r="AL631" s="348"/>
      <c r="AM631" s="354"/>
      <c r="AN631" s="354"/>
      <c r="AO631" s="354"/>
      <c r="AP631" s="354"/>
      <c r="AQ631" s="350"/>
      <c r="AR631" s="769"/>
      <c r="AS631" s="769"/>
      <c r="AT631" s="769"/>
      <c r="BM631" s="335"/>
    </row>
    <row r="632" spans="1:65" ht="22.25" customHeight="1">
      <c r="A632" s="181">
        <f t="shared" si="207"/>
        <v>45292</v>
      </c>
      <c r="B632" s="485"/>
      <c r="C632" s="490"/>
      <c r="D632" s="521"/>
      <c r="E632" s="194" t="e">
        <f>DATE(YEAR(E631),MONTH(E631)+3,DAY(E631)-1)</f>
        <v>#NUM!</v>
      </c>
      <c r="F632" s="195" t="e">
        <f t="shared" si="221"/>
        <v>#NUM!</v>
      </c>
      <c r="G632" s="196" t="e">
        <f t="shared" si="222"/>
        <v>#NUM!</v>
      </c>
      <c r="H632" s="195" t="e">
        <f t="shared" si="223"/>
        <v>#NUM!</v>
      </c>
      <c r="I632" s="244">
        <v>-1</v>
      </c>
      <c r="J632" s="198" t="e">
        <f>F631-F630</f>
        <v>#NUM!</v>
      </c>
      <c r="K632" s="501" t="str">
        <f t="shared" si="208"/>
        <v>+Inflat.-P</v>
      </c>
      <c r="L632" s="511" t="e">
        <f>IF(M629="Stufe A",IF(AND(L630="Auswahl treffen",D631&gt;=0,D631&lt;=1000),J629,IF(AND(L630="Vermögend und ambulant",D631&gt;8,D631&lt;=1000),130,IF(AND(L630="Vermögend und ambulant",D631&gt;4,D631&lt;=8),158,IF(AND(L630="Vermögend und ambulant",D631&gt;2,D631&lt;=4),192,IF(AND(L630="Vermögend und ambulant",D631&gt;1,D631&lt;=2),208,IF(AND(L630="Vermögend und ambulant",D631&gt;0,D631&lt;=1),298,IF(AND(L630="Vermögend und stationär",D631&gt;8,D631&lt;=1000),78,IF(AND(L630="Vermögend und stationär",D631&gt;4,D631&lt;=8),91,IF(AND(L630="Vermögend und stationär",D631&gt;2,D631&lt;=4),140,IF(AND(L630="Vermögend und stationär",D631&gt;1,D631&lt;=2),158,IF(AND(L630="Vermögend und stationär",D631&gt;0,D631&lt;=1),200,IF(AND(L630="Mittellos und ambulant",D631&gt;8,D631&lt;=1000),105,IF(AND(L630="Mittellos und ambulant",D631&gt;4,D631&lt;=8),122,IF(AND(L630="Mittellos und ambulant",D631&gt;2,D631&lt;=4),151,IF(AND(L630="Mittellos und ambulant",D631&gt;1,D631&lt;=2),170,IF(AND(L630="Mittellos und ambulant",D631&gt;0,D631&lt;=1),208,IF(AND(L630="Mittellos und stationär",D631&gt;8,D631&lt;=1000),62,IF(AND(L630="Mittellos und stationär",D631&gt;4,D631&lt;=8),87,IF(AND(L630="Mittellos und stationär",D631&gt;2,D631&lt;=4),124,IF(AND(L630="Mittellos und stationär",D631&gt;1,D631&lt;=2),129,IF(AND(L630="Mittellos und stationär",D631&gt;0,D631&lt;=1),194,""))))))))))))))))))))),IF(M629="Stufe B",IF(AND(L630="Auswahl treffen",D631&gt;=0,D631&lt;=1000),J629,IF(AND(L630="Vermögend und ambulant",D631&gt;8,D631&lt;=1000),161,IF(AND(L630="Vermögend und ambulant",D631&gt;4,D631&lt;=8),196,IF(AND(L630="Vermögend und ambulant",D631&gt;2,D631&lt;=4),238,IF(AND(L630="Vermögend und ambulant",D631&gt;1,D631&lt;=2),258,IF(AND(L630="Vermögend und ambulant",D631&gt;0,D631&lt;=1),370,IF(AND(L630="Vermögend und stationär",D631&gt;8,D631&lt;=1000),96,IF(AND(L630="Vermögend und stationär",D631&gt;4,D631&lt;=8),113,IF(AND(L630="Vermögend und stationär",D631&gt;2,D631&lt;=4),174,IF(AND(L630="Vermögend und stationär",D631&gt;1,D631&lt;=2),196,IF(AND(L630="Vermögend und stationär",D631&gt;0,D631&lt;=1),249,IF(AND(L630="Mittellos und ambulant",D631&gt;8,D631&lt;=1000),130,IF(AND(L630="Mittellos und ambulant",D631&gt;4,D631&lt;=8),151,IF(AND(L630="Mittellos und ambulant",D631&gt;2,D631&lt;=4),188,IF(AND(L630="Mittellos und ambulant",D631&gt;1,D631&lt;=2),211,IF(AND(L630="Mittellos und ambulant",D631&gt;0,D631&lt;=1),258,IF(AND(L630="Mittellos und stationär",D631&gt;8,D631&lt;=1000),78,IF(AND(L630="Mittellos und stationär",D631&gt;4,D631&lt;=8),107,IF(AND(L630="Mittellos und stationär",D631&gt;2,D631&lt;=4),154,IF(AND(L630="Mittellos und stationär",D631&gt;1,D631&lt;=2),158,IF(AND(L630="Mittellos und stationär",D631&gt;0,D631&lt;=1),241,""))))))))))))))))))))),IF(M629="Stufe C",IF(AND(L630="Auswahl treffen",D631&gt;=0,D631&lt;=1000),J629,IF(AND(L630="Vermögend und ambulant",D631&gt;8,D631&lt;=1000),211,IF(AND(L630="Vermögend und ambulant",D631&gt;4,D631&lt;=8),257,IF(AND(L630="Vermögend und ambulant",D631&gt;2,D631&lt;=4),312,IF(AND(L630="Vermögend und ambulant",D631&gt;1,D631&lt;=2),339,IF(AND(L630="Vermögend und ambulant",D631&gt;0,D631&lt;=1),486,IF(AND(L630="Vermögend und stationär",D631&gt;8,D631&lt;=1000),127,IF(AND(L630="Vermögend und stationär",D631&gt;4,D631&lt;=8),149,IF(AND(L630="Vermögend und stationär",D631&gt;2,D631&lt;=4),229,IF(AND(L630="Vermögend und stationär",D631&gt;1,D631&lt;=2),257,IF(AND(L630="Vermögend und stationär",D631&gt;0,D631&lt;=1),327,IF(AND(L630="Mittellos und ambulant",D631&gt;8,D631&lt;=1000),171,IF(AND(L630="Mittellos und ambulant",D631&gt;4,D631&lt;=8),198,IF(AND(L630="Mittellos und ambulant",D631&gt;2,D631&lt;=4),246,IF(AND(L630="Mittellos und ambulant",D631&gt;1,D631&lt;=2),277,IF(AND(L630="Mittellos und ambulant",D631&gt;0,D631&lt;=1),339,IF(AND(L630="Mittellos und stationär",D631&gt;8,D631&lt;=1000),102,IF(AND(L630="Mittellos und stationär",D631&gt;4,D631&lt;=8),141,IF(AND(L630="Mittellos und stationär",D631&gt;2,D631&lt;=4),202,IF(AND(L630="Mittellos und stationär",D631&gt;1,D631&lt;=2),208,IF(AND(L630="Mittellos und stationär",D631&gt;0,D631&lt;=1),317,""))))))))))))))))))))),"")))*3+(J629*90)</f>
        <v>#NUM!</v>
      </c>
      <c r="M632" s="507" t="str">
        <f>CONCATENATE(K632, K631)</f>
        <v>+Inflat.-P</v>
      </c>
      <c r="N632" s="206" t="s">
        <v>118</v>
      </c>
      <c r="O632" s="207"/>
      <c r="P632" s="207"/>
      <c r="Q632" s="208"/>
      <c r="R632" s="187"/>
      <c r="S632" s="209" t="s">
        <v>118</v>
      </c>
      <c r="T632" s="201" t="s">
        <v>117</v>
      </c>
      <c r="U632" s="210" t="s">
        <v>26</v>
      </c>
      <c r="V632" s="192"/>
      <c r="W632" s="203"/>
      <c r="X632" s="203"/>
      <c r="Y632" s="210"/>
      <c r="Z632" s="192"/>
      <c r="AA632" s="203"/>
      <c r="AB632" s="203"/>
      <c r="AC632" s="210"/>
      <c r="AD632" s="192"/>
      <c r="AE632" s="203"/>
      <c r="AF632" s="203"/>
      <c r="AG632" s="210"/>
      <c r="AH632" s="193"/>
      <c r="AI632" s="203"/>
      <c r="AJ632" s="203"/>
      <c r="AK632" s="376"/>
      <c r="AL632" s="348" t="s">
        <v>148</v>
      </c>
      <c r="AM632" s="354">
        <f>IF(SUM(N630:N638)=SUM(S630:S638), 0, SUM(N630:N638)-SUM(S630:S638))</f>
        <v>0</v>
      </c>
      <c r="AN632" s="354"/>
      <c r="AO632" s="354"/>
      <c r="AP632" s="354"/>
      <c r="AQ632" s="350">
        <f>AM632+AN632+AO632+AP632</f>
        <v>0</v>
      </c>
      <c r="AR632" s="769"/>
      <c r="AS632" s="769"/>
      <c r="AT632" s="769"/>
      <c r="BM632" s="335"/>
    </row>
    <row r="633" spans="1:65" ht="22.25" customHeight="1">
      <c r="A633" s="181">
        <f t="shared" si="207"/>
        <v>45292</v>
      </c>
      <c r="B633" s="484" t="e">
        <f>MONTH(I630)</f>
        <v>#NUM!</v>
      </c>
      <c r="C633" s="489" t="s">
        <v>158</v>
      </c>
      <c r="D633" s="522" t="e">
        <f>D631+1</f>
        <v>#NUM!</v>
      </c>
      <c r="E633" s="211" t="e">
        <f>DATE(YEAR(E632),MONTH(E632),DAY(E632)+1)</f>
        <v>#NUM!</v>
      </c>
      <c r="F633" s="212" t="e">
        <f t="shared" si="221"/>
        <v>#NUM!</v>
      </c>
      <c r="G633" s="213" t="e">
        <f t="shared" si="222"/>
        <v>#NUM!</v>
      </c>
      <c r="H633" s="212" t="e">
        <f t="shared" si="223"/>
        <v>#NUM!</v>
      </c>
      <c r="I633" s="214" t="str">
        <f>IF(D630&lt;&gt;0,"-1T","")</f>
        <v/>
      </c>
      <c r="J633" s="215" t="e">
        <f>DATE($B635,I634,$B631)</f>
        <v>#NUM!</v>
      </c>
      <c r="K633" s="506" t="str">
        <f t="shared" si="208"/>
        <v/>
      </c>
      <c r="L633" s="470"/>
      <c r="M633" s="473" t="e">
        <f ca="1">SUM(J630-E634)&amp;" Tage"</f>
        <v>#NUM!</v>
      </c>
      <c r="N633" s="216"/>
      <c r="O633" s="217"/>
      <c r="P633" s="188"/>
      <c r="Q633" s="217"/>
      <c r="R633" s="189"/>
      <c r="S633" s="190"/>
      <c r="T633" s="190"/>
      <c r="U633" s="191"/>
      <c r="V633" s="192"/>
      <c r="W633" s="190"/>
      <c r="X633" s="190"/>
      <c r="Y633" s="191"/>
      <c r="Z633" s="192"/>
      <c r="AA633" s="190"/>
      <c r="AB633" s="190"/>
      <c r="AC633" s="191"/>
      <c r="AD633" s="192"/>
      <c r="AE633" s="190"/>
      <c r="AF633" s="190"/>
      <c r="AG633" s="191"/>
      <c r="AH633" s="193"/>
      <c r="AI633" s="190"/>
      <c r="AJ633" s="190"/>
      <c r="AK633" s="374"/>
      <c r="AL633" s="348"/>
      <c r="AM633" s="354"/>
      <c r="AN633" s="354"/>
      <c r="AO633" s="354"/>
      <c r="AP633" s="354"/>
      <c r="AQ633" s="350"/>
      <c r="AR633" s="769"/>
      <c r="AS633" s="769"/>
      <c r="AT633" s="769"/>
      <c r="BM633" s="335"/>
    </row>
    <row r="634" spans="1:65" ht="22.25" customHeight="1">
      <c r="A634" s="181">
        <f t="shared" si="207"/>
        <v>45292</v>
      </c>
      <c r="B634" s="485"/>
      <c r="C634" s="490"/>
      <c r="D634" s="521"/>
      <c r="E634" s="218" t="e">
        <f>DATE(YEAR(E633),MONTH(E633)+3,DAY(E633)-1)</f>
        <v>#NUM!</v>
      </c>
      <c r="F634" s="212" t="e">
        <f t="shared" si="221"/>
        <v>#NUM!</v>
      </c>
      <c r="G634" s="213" t="e">
        <f t="shared" si="222"/>
        <v>#NUM!</v>
      </c>
      <c r="H634" s="212" t="e">
        <f t="shared" si="223"/>
        <v>#NUM!</v>
      </c>
      <c r="I634" s="219">
        <f>MAX(I635:I638)</f>
        <v>9</v>
      </c>
      <c r="J634" s="220" t="e">
        <f>DATE(YEAR(J633)+1,MONTH(J633),DAY(J633))</f>
        <v>#NUM!</v>
      </c>
      <c r="K634" s="501" t="str">
        <f t="shared" si="208"/>
        <v>+Inflat.-P</v>
      </c>
      <c r="L634" s="508" t="e">
        <f>IF(M629="Stufe A",IF(AND(L630="Auswahl treffen",D633&gt;=0,D633&lt;=1000),J629,IF(AND(L630="Vermögend und ambulant",D633&gt;8,D633&lt;=1000),130,IF(AND(L630="Vermögend und ambulant",D633&gt;4,D633&lt;=8),158,IF(AND(L630="Vermögend und ambulant",D633&gt;2,D633&lt;=4),192,IF(AND(L630="Vermögend und ambulant",D633&gt;1,D633&lt;=2),208,IF(AND(L630="Vermögend und ambulant",D633&gt;0,D633&lt;=1),298,IF(AND(L630="Vermögend und stationär",D633&gt;8,D633&lt;=1000),78,IF(AND(L630="Vermögend und stationär",D633&gt;4,D633&lt;=8),91,IF(AND(L630="Vermögend und stationär",D633&gt;2,D633&lt;=4),140,IF(AND(L630="Vermögend und stationär",D633&gt;1,D633&lt;=2),158,IF(AND(L630="Vermögend und stationär",D633&gt;0,D633&lt;=1),200,IF(AND(L630="Mittellos und ambulant",D633&gt;8,D633&lt;=1000),105,IF(AND(L630="Mittellos und ambulant",D633&gt;4,D633&lt;=8),122,IF(AND(L630="Mittellos und ambulant",D633&gt;2,D633&lt;=4),151,IF(AND(L630="Mittellos und ambulant",D633&gt;1,D633&lt;=2),170,IF(AND(L630="Mittellos und ambulant",D633&gt;0,D633&lt;=1),208,IF(AND(L630="Mittellos und stationär",D633&gt;8,D633&lt;=1000),62,IF(AND(L630="Mittellos und stationär",D633&gt;4,D633&lt;=8),87,IF(AND(L630="Mittellos und stationär",D633&gt;2,D633&lt;=4),124,IF(AND(L630="Mittellos und stationär",D633&gt;1,D633&lt;=2),129,IF(AND(L630="Mittellos und stationär",D633&gt;0,D633&lt;=1),194,""))))))))))))))))))))),IF(M629="Stufe B",IF(AND(L630="Auswahl treffen",D633&gt;=0,D633&lt;=1000),J629,IF(AND(L630="Vermögend und ambulant",D633&gt;8,D633&lt;=1000),161,IF(AND(L630="Vermögend und ambulant",D633&gt;4,D633&lt;=8),196,IF(AND(L630="Vermögend und ambulant",D633&gt;2,D633&lt;=4),238,IF(AND(L630="Vermögend und ambulant",D633&gt;1,D633&lt;=2),258,IF(AND(L630="Vermögend und ambulant",D633&gt;0,D633&lt;=1),370,IF(AND(L630="Vermögend und stationär",D633&gt;8,D633&lt;=1000),96,IF(AND(L630="Vermögend und stationär",D633&gt;4,D633&lt;=8),113,IF(AND(L630="Vermögend und stationär",D633&gt;2,D633&lt;=4),174,IF(AND(L630="Vermögend und stationär",D633&gt;1,D633&lt;=2),196,IF(AND(L630="Vermögend und stationär",D633&gt;0,D633&lt;=1),249,IF(AND(L630="Mittellos und ambulant",D633&gt;8,D633&lt;=1000),130,IF(AND(L630="Mittellos und ambulant",D633&gt;4,D633&lt;=8),151,IF(AND(L630="Mittellos und ambulant",D633&gt;2,D633&lt;=4),188,IF(AND(L630="Mittellos und ambulant",D633&gt;1,D633&lt;=2),211,IF(AND(L630="Mittellos und ambulant",D633&gt;0,D633&lt;=1),258,IF(AND(L630="Mittellos und stationär",D633&gt;8,D633&lt;=1000),78,IF(AND(L630="Mittellos und stationär",D633&gt;4,D633&lt;=8),107,IF(AND(L630="Mittellos und stationär",D633&gt;2,D633&lt;=4),154,IF(AND(L630="Mittellos und stationär",D633&gt;1,D633&lt;=2),158,IF(AND(L630="Mittellos und stationär",D633&gt;0,D633&lt;=1),241,""))))))))))))))))))))),IF(M629="Stufe C",IF(AND(L630="Auswahl treffen",D633&gt;=0,D633&lt;=1000),J629,IF(AND(L630="Vermögend und ambulant",D633&gt;8,D633&lt;=1000),211,IF(AND(L630="Vermögend und ambulant",D633&gt;4,D633&lt;=8),257,IF(AND(L630="Vermögend und ambulant",D633&gt;2,D633&lt;=4),312,IF(AND(L630="Vermögend und ambulant",D633&gt;1,D633&lt;=2),339,IF(AND(L630="Vermögend und ambulant",D633&gt;0,D633&lt;=1),486,IF(AND(L630="Vermögend und stationär",D633&gt;8,D633&lt;=1000),127,IF(AND(L630="Vermögend und stationär",D633&gt;4,D633&lt;=8),149,IF(AND(L630="Vermögend und stationär",D633&gt;2,D633&lt;=4),229,IF(AND(L630="Vermögend und stationär",D633&gt;1,D633&lt;=2),257,IF(AND(L630="Vermögend und stationär",D633&gt;0,D633&lt;=1),327,IF(AND(L630="Mittellos und ambulant",D633&gt;8,D633&lt;=1000),171,IF(AND(L630="Mittellos und ambulant",D633&gt;4,D633&lt;=8),198,IF(AND(L630="Mittellos und ambulant",D633&gt;2,D633&lt;=4),246,IF(AND(L630="Mittellos und ambulant",D633&gt;1,D633&lt;=2),277,IF(AND(L630="Mittellos und ambulant",D633&gt;0,D633&lt;=1),339,IF(AND(L630="Mittellos und stationär",D633&gt;8,D633&lt;=1000),102,IF(AND(L630="Mittellos und stationär",D633&gt;4,D633&lt;=8),141,IF(AND(L630="Mittellos und stationär",D633&gt;2,D633&lt;=4),202,IF(AND(L630="Mittellos und stationär",D633&gt;1,D633&lt;=2),208,IF(AND(L630="Mittellos und stationär",D633&gt;0,D633&lt;=1),317,""))))))))))))))))))))),"")))*3+(J629*90)</f>
        <v>#NUM!</v>
      </c>
      <c r="M634" s="507" t="str">
        <f>CONCATENATE(K634, K633)</f>
        <v>+Inflat.-P</v>
      </c>
      <c r="N634" s="216"/>
      <c r="O634" s="188" t="s">
        <v>118</v>
      </c>
      <c r="P634" s="188"/>
      <c r="Q634" s="221"/>
      <c r="R634" s="199"/>
      <c r="S634" s="190"/>
      <c r="T634" s="190"/>
      <c r="U634" s="191"/>
      <c r="V634" s="192"/>
      <c r="W634" s="222" t="s">
        <v>118</v>
      </c>
      <c r="X634" s="222" t="s">
        <v>117</v>
      </c>
      <c r="Y634" s="191" t="s">
        <v>26</v>
      </c>
      <c r="Z634" s="192"/>
      <c r="AA634" s="190"/>
      <c r="AB634" s="190"/>
      <c r="AC634" s="191"/>
      <c r="AD634" s="192"/>
      <c r="AE634" s="190"/>
      <c r="AF634" s="190"/>
      <c r="AG634" s="191"/>
      <c r="AH634" s="193"/>
      <c r="AI634" s="190"/>
      <c r="AJ634" s="190"/>
      <c r="AK634" s="374"/>
      <c r="AL634" s="348" t="s">
        <v>149</v>
      </c>
      <c r="AM634" s="354"/>
      <c r="AN634" s="354">
        <f>IF(SUM(O630:O638)=SUM(W630:W638), 0, SUM(O630:O638)-SUM(W630:W638))</f>
        <v>0</v>
      </c>
      <c r="AO634" s="354"/>
      <c r="AP634" s="354"/>
      <c r="AQ634" s="350">
        <f>AM634+AN634+AO634+AP634</f>
        <v>0</v>
      </c>
      <c r="AR634" s="769"/>
      <c r="AS634" s="769"/>
      <c r="AT634" s="769"/>
      <c r="BM634" s="335"/>
    </row>
    <row r="635" spans="1:65" ht="22.25" customHeight="1">
      <c r="A635" s="181">
        <f t="shared" si="207"/>
        <v>45292</v>
      </c>
      <c r="B635" s="484">
        <f>YEAR($A636)-1</f>
        <v>2023</v>
      </c>
      <c r="C635" s="489" t="s">
        <v>158</v>
      </c>
      <c r="D635" s="520" t="e">
        <f>D633+1</f>
        <v>#NUM!</v>
      </c>
      <c r="E635" s="194" t="e">
        <f>DATE(YEAR(E634),MONTH(E634),DAY(E634)+1)</f>
        <v>#NUM!</v>
      </c>
      <c r="F635" s="195" t="e">
        <f t="shared" si="221"/>
        <v>#NUM!</v>
      </c>
      <c r="G635" s="196" t="e">
        <f t="shared" si="222"/>
        <v>#NUM!</v>
      </c>
      <c r="H635" s="195" t="e">
        <f t="shared" si="223"/>
        <v>#NUM!</v>
      </c>
      <c r="I635" s="197">
        <f>IF(J637&lt;13,J637,"")</f>
        <v>9</v>
      </c>
      <c r="J635" s="224">
        <f>G630</f>
        <v>0</v>
      </c>
      <c r="K635" s="501" t="str">
        <f t="shared" si="208"/>
        <v/>
      </c>
      <c r="L635" s="471"/>
      <c r="M635" s="473" t="e">
        <f ca="1">SUM(J630-E636)&amp;" Tage"</f>
        <v>#NUM!</v>
      </c>
      <c r="N635" s="200"/>
      <c r="O635" s="201"/>
      <c r="P635" s="201"/>
      <c r="Q635" s="202"/>
      <c r="R635" s="189"/>
      <c r="S635" s="203"/>
      <c r="T635" s="203"/>
      <c r="U635" s="204"/>
      <c r="V635" s="192"/>
      <c r="W635" s="203"/>
      <c r="X635" s="203"/>
      <c r="Y635" s="204"/>
      <c r="Z635" s="192"/>
      <c r="AA635" s="203"/>
      <c r="AB635" s="203"/>
      <c r="AC635" s="204"/>
      <c r="AD635" s="192"/>
      <c r="AE635" s="203"/>
      <c r="AF635" s="203"/>
      <c r="AG635" s="204"/>
      <c r="AH635" s="193"/>
      <c r="AI635" s="203"/>
      <c r="AJ635" s="203"/>
      <c r="AK635" s="375"/>
      <c r="AL635" s="348"/>
      <c r="AM635" s="354"/>
      <c r="AN635" s="354"/>
      <c r="AO635" s="354"/>
      <c r="AP635" s="354"/>
      <c r="AQ635" s="350"/>
      <c r="AR635" s="769"/>
      <c r="AS635" s="769"/>
      <c r="AT635" s="769"/>
      <c r="BM635" s="335"/>
    </row>
    <row r="636" spans="1:65" ht="22.25" customHeight="1">
      <c r="A636" s="181">
        <f t="shared" si="207"/>
        <v>45292</v>
      </c>
      <c r="B636" s="485"/>
      <c r="C636" s="490"/>
      <c r="D636" s="521"/>
      <c r="E636" s="194" t="e">
        <f>DATE(YEAR(E635),MONTH(E635)+3,DAY(E635)-1)</f>
        <v>#NUM!</v>
      </c>
      <c r="F636" s="195" t="e">
        <f t="shared" si="221"/>
        <v>#NUM!</v>
      </c>
      <c r="G636" s="196" t="e">
        <f t="shared" si="222"/>
        <v>#NUM!</v>
      </c>
      <c r="H636" s="195" t="e">
        <f t="shared" si="223"/>
        <v>#NUM!</v>
      </c>
      <c r="I636" s="244">
        <f>IF(J638&lt;13,J638,"")</f>
        <v>6</v>
      </c>
      <c r="J636" s="224">
        <f>J635+3</f>
        <v>3</v>
      </c>
      <c r="K636" s="506" t="str">
        <f t="shared" si="208"/>
        <v>+Inflat.-P</v>
      </c>
      <c r="L636" s="511" t="e">
        <f>IF(M629="Stufe A",IF(AND(L630="Auswahl treffen",D635&gt;=0,D635&lt;=1000),J629,IF(AND(L630="Vermögend und ambulant",D635&gt;8,D635&lt;=1000),130,IF(AND(L630="Vermögend und ambulant",D635&gt;4,D635&lt;=8),158,IF(AND(L630="Vermögend und ambulant",D635&gt;2,D635&lt;=4),192,IF(AND(L630="Vermögend und ambulant",D635&gt;1,D635&lt;=2),208,IF(AND(L630="Vermögend und ambulant",D635&gt;0,D635&lt;=1),298,IF(AND(L630="Vermögend und stationär",D635&gt;8,D635&lt;=1000),78,IF(AND(L630="Vermögend und stationär",D635&gt;4,D635&lt;=8),91,IF(AND(L630="Vermögend und stationär",D635&gt;2,D635&lt;=4),140,IF(AND(L630="Vermögend und stationär",D635&gt;1,D635&lt;=2),158,IF(AND(L630="Vermögend und stationär",D635&gt;0,D635&lt;=1),200,IF(AND(L630="Mittellos und ambulant",D635&gt;8,D635&lt;=1000),105,IF(AND(L630="Mittellos und ambulant",D635&gt;4,D635&lt;=8),122,IF(AND(L630="Mittellos und ambulant",D635&gt;2,D635&lt;=4),151,IF(AND(L630="Mittellos und ambulant",D635&gt;1,D635&lt;=2),170,IF(AND(L630="Mittellos und ambulant",D635&gt;0,D635&lt;=1),208,IF(AND(L630="Mittellos und stationär",D635&gt;8,D635&lt;=1000),62,IF(AND(L630="Mittellos und stationär",D635&gt;4,D635&lt;=8),87,IF(AND(L630="Mittellos und stationär",D635&gt;2,D635&lt;=4),124,IF(AND(L630="Mittellos und stationär",D635&gt;1,D635&lt;=2),129,IF(AND(L630="Mittellos und stationär",D635&gt;0,D635&lt;=1),194,""))))))))))))))))))))),IF(M629="Stufe B",IF(AND(L630="Auswahl treffen",D635&gt;=0,D635&lt;=1000),J629,IF(AND(L630="Vermögend und ambulant",D635&gt;8,D635&lt;=1000),161,IF(AND(L630="Vermögend und ambulant",D635&gt;4,D635&lt;=8),196,IF(AND(L630="Vermögend und ambulant",D635&gt;2,D635&lt;=4),238,IF(AND(L630="Vermögend und ambulant",D635&gt;1,D635&lt;=2),258,IF(AND(L630="Vermögend und ambulant",D635&gt;0,D635&lt;=1),370,IF(AND(L630="Vermögend und stationär",D635&gt;8,D635&lt;=1000),96,IF(AND(L630="Vermögend und stationär",D635&gt;4,D635&lt;=8),113,IF(AND(L630="Vermögend und stationär",D635&gt;2,D635&lt;=4),174,IF(AND(L630="Vermögend und stationär",D635&gt;1,D635&lt;=2),196,IF(AND(L630="Vermögend und stationär",D635&gt;0,D635&lt;=1),249,IF(AND(L630="Mittellos und ambulant",D635&gt;8,D635&lt;=1000),130,IF(AND(L630="Mittellos und ambulant",D635&gt;4,D635&lt;=8),151,IF(AND(L630="Mittellos und ambulant",D635&gt;2,D635&lt;=4),188,IF(AND(L630="Mittellos und ambulant",D635&gt;1,D635&lt;=2),211,IF(AND(L630="Mittellos und ambulant",D635&gt;0,D635&lt;=1),258,IF(AND(L630="Mittellos und stationär",D635&gt;8,D635&lt;=1000),78,IF(AND(L630="Mittellos und stationär",D635&gt;4,D635&lt;=8),107,IF(AND(L630="Mittellos und stationär",D635&gt;2,D635&lt;=4),154,IF(AND(L630="Mittellos und stationär",D635&gt;1,D635&lt;=2),158,IF(AND(L630="Mittellos und stationär",D635&gt;0,D635&lt;=1),241,""))))))))))))))))))))),IF(M629="Stufe C",IF(AND(L630="Auswahl treffen",D635&gt;=0,D635&lt;=1000),J629,IF(AND(L630="Vermögend und ambulant",D635&gt;8,D635&lt;=1000),211,IF(AND(L630="Vermögend und ambulant",D635&gt;4,D635&lt;=8),257,IF(AND(L630="Vermögend und ambulant",D635&gt;2,D635&lt;=4),312,IF(AND(L630="Vermögend und ambulant",D635&gt;1,D635&lt;=2),339,IF(AND(L630="Vermögend und ambulant",D635&gt;0,D635&lt;=1),486,IF(AND(L630="Vermögend und stationär",D635&gt;8,D635&lt;=1000),127,IF(AND(L630="Vermögend und stationär",D635&gt;4,D635&lt;=8),149,IF(AND(L630="Vermögend und stationär",D635&gt;2,D635&lt;=4),229,IF(AND(L630="Vermögend und stationär",D635&gt;1,D635&lt;=2),257,IF(AND(L630="Vermögend und stationär",D635&gt;0,D635&lt;=1),327,IF(AND(L630="Mittellos und ambulant",D635&gt;8,D635&lt;=1000),171,IF(AND(L630="Mittellos und ambulant",D635&gt;4,D635&lt;=8),198,IF(AND(L630="Mittellos und ambulant",D635&gt;2,D635&lt;=4),246,IF(AND(L630="Mittellos und ambulant",D635&gt;1,D635&lt;=2),277,IF(AND(L630="Mittellos und ambulant",D635&gt;0,D635&lt;=1),339,IF(AND(L630="Mittellos und stationär",D635&gt;8,D635&lt;=1000),102,IF(AND(L630="Mittellos und stationär",D635&gt;4,D635&lt;=8),141,IF(AND(L630="Mittellos und stationär",D635&gt;2,D635&lt;=4),202,IF(AND(L630="Mittellos und stationär",D635&gt;1,D635&lt;=2),208,IF(AND(L630="Mittellos und stationär",D635&gt;0,D635&lt;=1),317,""))))))))))))))))))))),"")))*3+(J629*90)</f>
        <v>#NUM!</v>
      </c>
      <c r="M636" s="507" t="str">
        <f>CONCATENATE(K636, K635)</f>
        <v>+Inflat.-P</v>
      </c>
      <c r="N636" s="206"/>
      <c r="O636" s="207"/>
      <c r="P636" s="206" t="s">
        <v>118</v>
      </c>
      <c r="Q636" s="226"/>
      <c r="R636" s="189"/>
      <c r="S636" s="203"/>
      <c r="T636" s="203"/>
      <c r="U636" s="204"/>
      <c r="V636" s="192"/>
      <c r="W636" s="203"/>
      <c r="X636" s="203"/>
      <c r="Y636" s="204"/>
      <c r="Z636" s="192"/>
      <c r="AA636" s="209" t="s">
        <v>118</v>
      </c>
      <c r="AB636" s="209" t="s">
        <v>117</v>
      </c>
      <c r="AC636" s="204" t="s">
        <v>26</v>
      </c>
      <c r="AD636" s="192"/>
      <c r="AE636" s="203"/>
      <c r="AF636" s="203"/>
      <c r="AG636" s="204"/>
      <c r="AH636" s="193"/>
      <c r="AI636" s="203"/>
      <c r="AJ636" s="203"/>
      <c r="AK636" s="375"/>
      <c r="AL636" s="348" t="s">
        <v>150</v>
      </c>
      <c r="AM636" s="354"/>
      <c r="AN636" s="354"/>
      <c r="AO636" s="354">
        <f>IF(SUM(P630:P638)=SUM(AA630:AA638), 0, SUM(P630:P638)-SUM(AA630:AA638))</f>
        <v>0</v>
      </c>
      <c r="AP636" s="354"/>
      <c r="AQ636" s="350">
        <f>AM636+AN636+AO636+AP636</f>
        <v>0</v>
      </c>
      <c r="AR636" s="769"/>
      <c r="AS636" s="769"/>
      <c r="AT636" s="769"/>
      <c r="BM636" s="335"/>
    </row>
    <row r="637" spans="1:65" ht="22.25" customHeight="1">
      <c r="A637" s="181">
        <f t="shared" si="207"/>
        <v>45292</v>
      </c>
      <c r="B637" s="486"/>
      <c r="C637" s="489" t="s">
        <v>158</v>
      </c>
      <c r="D637" s="522" t="e">
        <f>D635+1</f>
        <v>#NUM!</v>
      </c>
      <c r="E637" s="211" t="e">
        <f>DATE(YEAR(E636),MONTH(E636),DAY(E636)+1)</f>
        <v>#NUM!</v>
      </c>
      <c r="F637" s="227" t="e">
        <f t="shared" si="221"/>
        <v>#NUM!</v>
      </c>
      <c r="G637" s="228" t="e">
        <f t="shared" si="222"/>
        <v>#NUM!</v>
      </c>
      <c r="H637" s="227" t="e">
        <f t="shared" si="223"/>
        <v>#NUM!</v>
      </c>
      <c r="I637" s="231">
        <f>IF(J636&lt;13,J636,"")</f>
        <v>3</v>
      </c>
      <c r="J637" s="230">
        <f>J638+3</f>
        <v>9</v>
      </c>
      <c r="K637" s="501" t="str">
        <f t="shared" si="208"/>
        <v/>
      </c>
      <c r="L637" s="471"/>
      <c r="M637" s="473" t="e">
        <f ca="1">SUM(J630-E638)&amp;" Tage"</f>
        <v>#NUM!</v>
      </c>
      <c r="N637" s="216"/>
      <c r="O637" s="188"/>
      <c r="P637" s="188"/>
      <c r="Q637" s="217"/>
      <c r="R637" s="189"/>
      <c r="S637" s="190"/>
      <c r="T637" s="190"/>
      <c r="U637" s="191"/>
      <c r="V637" s="192"/>
      <c r="W637" s="190"/>
      <c r="X637" s="190"/>
      <c r="Y637" s="191"/>
      <c r="Z637" s="192"/>
      <c r="AA637" s="190"/>
      <c r="AB637" s="190"/>
      <c r="AC637" s="191"/>
      <c r="AD637" s="192"/>
      <c r="AE637" s="190"/>
      <c r="AF637" s="190"/>
      <c r="AG637" s="191"/>
      <c r="AH637" s="193"/>
      <c r="AI637" s="190"/>
      <c r="AJ637" s="190"/>
      <c r="AK637" s="374"/>
      <c r="AL637" s="348"/>
      <c r="AM637" s="354"/>
      <c r="AN637" s="354"/>
      <c r="AO637" s="354"/>
      <c r="AP637" s="354"/>
      <c r="AQ637" s="350"/>
      <c r="AR637" s="769"/>
      <c r="AS637" s="769"/>
      <c r="AT637" s="769"/>
      <c r="BM637" s="335"/>
    </row>
    <row r="638" spans="1:65" ht="22.25" customHeight="1">
      <c r="A638" s="181">
        <f t="shared" si="207"/>
        <v>45292</v>
      </c>
      <c r="B638" s="485"/>
      <c r="C638" s="490"/>
      <c r="D638" s="521"/>
      <c r="E638" s="218" t="e">
        <f>DATE(YEAR(E637),MONTH(E637)+3,DAY(E637)-1)</f>
        <v>#NUM!</v>
      </c>
      <c r="F638" s="227" t="e">
        <f t="shared" si="221"/>
        <v>#NUM!</v>
      </c>
      <c r="G638" s="228" t="e">
        <f t="shared" si="222"/>
        <v>#NUM!</v>
      </c>
      <c r="H638" s="227" t="e">
        <f t="shared" si="223"/>
        <v>#NUM!</v>
      </c>
      <c r="I638" s="231">
        <f>IF(J635&lt;13,J635,"")</f>
        <v>0</v>
      </c>
      <c r="J638" s="230">
        <f>J636+3</f>
        <v>6</v>
      </c>
      <c r="K638" s="506" t="str">
        <f t="shared" si="208"/>
        <v>+Inflat.-P</v>
      </c>
      <c r="L638" s="508" t="e">
        <f>IF(M629="Stufe A",IF(AND(L630="Auswahl treffen",D637&gt;=0,D637&lt;=1000),J629,IF(AND(L630="Vermögend und ambulant",D637&gt;8,D637&lt;=1000),130,IF(AND(L630="Vermögend und ambulant",D637&gt;4,D637&lt;=8),158,IF(AND(L630="Vermögend und ambulant",D637&gt;2,D637&lt;=4),192,IF(AND(L630="Vermögend und ambulant",D637&gt;1,D637&lt;=2),208,IF(AND(L630="Vermögend und ambulant",D637&gt;0,D637&lt;=1),298,IF(AND(L630="Vermögend und stationär",D637&gt;8,D637&lt;=1000),78,IF(AND(L630="Vermögend und stationär",D637&gt;4,D637&lt;=8),91,IF(AND(L630="Vermögend und stationär",D637&gt;2,D637&lt;=4),140,IF(AND(L630="Vermögend und stationär",D637&gt;1,D637&lt;=2),158,IF(AND(L630="Vermögend und stationär",D637&gt;0,D637&lt;=1),200,IF(AND(L630="Mittellos und ambulant",D637&gt;8,D637&lt;=1000),105,IF(AND(L630="Mittellos und ambulant",D637&gt;4,D637&lt;=8),122,IF(AND(L630="Mittellos und ambulant",D637&gt;2,D637&lt;=4),151,IF(AND(L630="Mittellos und ambulant",D637&gt;1,D637&lt;=2),170,IF(AND(L630="Mittellos und ambulant",D637&gt;0,D637&lt;=1),208,IF(AND(L630="Mittellos und stationär",D637&gt;8,D637&lt;=1000),62,IF(AND(L630="Mittellos und stationär",D637&gt;4,D637&lt;=8),87,IF(AND(L630="Mittellos und stationär",D637&gt;2,D637&lt;=4),124,IF(AND(L630="Mittellos und stationär",D637&gt;1,D637&lt;=2),129,IF(AND(L630="Mittellos und stationär",D637&gt;0,D637&lt;=1),194,""))))))))))))))))))))),IF(M629="Stufe B",IF(AND(L630="Auswahl treffen",D637&gt;=0,D637&lt;=1000),J629,IF(AND(L630="Vermögend und ambulant",D637&gt;8,D637&lt;=1000),161,IF(AND(L630="Vermögend und ambulant",D637&gt;4,D637&lt;=8),196,IF(AND(L630="Vermögend und ambulant",D637&gt;2,D637&lt;=4),238,IF(AND(L630="Vermögend und ambulant",D637&gt;1,D637&lt;=2),258,IF(AND(L630="Vermögend und ambulant",D637&gt;0,D637&lt;=1),370,IF(AND(L630="Vermögend und stationär",D637&gt;8,D637&lt;=1000),96,IF(AND(L630="Vermögend und stationär",D637&gt;4,D637&lt;=8),113,IF(AND(L630="Vermögend und stationär",D637&gt;2,D637&lt;=4),174,IF(AND(L630="Vermögend und stationär",D637&gt;1,D637&lt;=2),196,IF(AND(L630="Vermögend und stationär",D637&gt;0,D637&lt;=1),249,IF(AND(L630="Mittellos und ambulant",D637&gt;8,D637&lt;=1000),130,IF(AND(L630="Mittellos und ambulant",D637&gt;4,D637&lt;=8),151,IF(AND(L630="Mittellos und ambulant",D637&gt;2,D637&lt;=4),188,IF(AND(L630="Mittellos und ambulant",D637&gt;1,D637&lt;=2),211,IF(AND(L630="Mittellos und ambulant",D637&gt;0,D637&lt;=1),258,IF(AND(L630="Mittellos und stationär",D637&gt;8,D637&lt;=1000),78,IF(AND(L630="Mittellos und stationär",D637&gt;4,D637&lt;=8),107,IF(AND(L630="Mittellos und stationär",D637&gt;2,D637&lt;=4),154,IF(AND(L630="Mittellos und stationär",D637&gt;1,D637&lt;=2),158,IF(AND(L630="Mittellos und stationär",D637&gt;0,D637&lt;=1),241,""))))))))))))))))))))),IF(M629="Stufe C",IF(AND(L630="Auswahl treffen",D637&gt;=0,D637&lt;=1000),J629,IF(AND(L630="Vermögend und ambulant",D637&gt;8,D637&lt;=1000),211,IF(AND(L630="Vermögend und ambulant",D637&gt;4,D637&lt;=8),257,IF(AND(L630="Vermögend und ambulant",D637&gt;2,D637&lt;=4),312,IF(AND(L630="Vermögend und ambulant",D637&gt;1,D637&lt;=2),339,IF(AND(L630="Vermögend und ambulant",D637&gt;0,D637&lt;=1),486,IF(AND(L630="Vermögend und stationär",D637&gt;8,D637&lt;=1000),127,IF(AND(L630="Vermögend und stationär",D637&gt;4,D637&lt;=8),149,IF(AND(L630="Vermögend und stationär",D637&gt;2,D637&lt;=4),229,IF(AND(L630="Vermögend und stationär",D637&gt;1,D637&lt;=2),257,IF(AND(L630="Vermögend und stationär",D637&gt;0,D637&lt;=1),327,IF(AND(L630="Mittellos und ambulant",D637&gt;8,D637&lt;=1000),171,IF(AND(L630="Mittellos und ambulant",D637&gt;4,D637&lt;=8),198,IF(AND(L630="Mittellos und ambulant",D637&gt;2,D637&lt;=4),246,IF(AND(L630="Mittellos und ambulant",D637&gt;1,D637&lt;=2),277,IF(AND(L630="Mittellos und ambulant",D637&gt;0,D637&lt;=1),339,IF(AND(L630="Mittellos und stationär",D637&gt;8,D637&lt;=1000),102,IF(AND(L630="Mittellos und stationär",D637&gt;4,D637&lt;=8),141,IF(AND(L630="Mittellos und stationär",D637&gt;2,D637&lt;=4),202,IF(AND(L630="Mittellos und stationär",D637&gt;1,D637&lt;=2),208,IF(AND(L630="Mittellos und stationär",D637&gt;0,D637&lt;=1),317,""))))))))))))))))))))),"")))*3+(J629*90)</f>
        <v>#NUM!</v>
      </c>
      <c r="M638" s="507" t="str">
        <f>CONCATENATE(K638, K637)</f>
        <v>+Inflat.-P</v>
      </c>
      <c r="N638" s="216"/>
      <c r="O638" s="188"/>
      <c r="P638" s="188"/>
      <c r="Q638" s="217" t="s">
        <v>118</v>
      </c>
      <c r="R638" s="189"/>
      <c r="S638" s="190"/>
      <c r="T638" s="190"/>
      <c r="U638" s="191"/>
      <c r="V638" s="192"/>
      <c r="W638" s="190"/>
      <c r="X638" s="190"/>
      <c r="Y638" s="191"/>
      <c r="Z638" s="192"/>
      <c r="AA638" s="190"/>
      <c r="AB638" s="190"/>
      <c r="AC638" s="191"/>
      <c r="AD638" s="192"/>
      <c r="AE638" s="190" t="s">
        <v>118</v>
      </c>
      <c r="AF638" s="190" t="s">
        <v>117</v>
      </c>
      <c r="AG638" s="191" t="s">
        <v>26</v>
      </c>
      <c r="AH638" s="193"/>
      <c r="AI638" s="190" t="s">
        <v>118</v>
      </c>
      <c r="AJ638" s="190" t="s">
        <v>117</v>
      </c>
      <c r="AK638" s="374" t="s">
        <v>26</v>
      </c>
      <c r="AL638" s="348" t="s">
        <v>151</v>
      </c>
      <c r="AM638" s="354"/>
      <c r="AN638" s="354"/>
      <c r="AO638" s="354"/>
      <c r="AP638" s="354">
        <f>IF(SUM(Q630:Q638)=SUM(AE630:AE638,AI630:AI638), 0, SUM(Q630:Q638)-SUM(AE630:AE638,AI630:AI638))</f>
        <v>0</v>
      </c>
      <c r="AQ638" s="350">
        <f>AM638+AN638+AO638+AP638</f>
        <v>0</v>
      </c>
      <c r="AR638" s="769"/>
      <c r="AS638" s="769"/>
      <c r="AT638" s="769"/>
      <c r="BM638" s="335"/>
    </row>
    <row r="639" spans="1:65" ht="22" customHeight="1">
      <c r="A639" s="181">
        <f t="shared" si="207"/>
        <v>45292</v>
      </c>
      <c r="B639" s="232" t="s">
        <v>74</v>
      </c>
      <c r="C639" s="233" t="s">
        <v>75</v>
      </c>
      <c r="D639" s="234" t="s">
        <v>76</v>
      </c>
      <c r="E639" s="235" t="s">
        <v>11</v>
      </c>
      <c r="F639" s="235" t="s">
        <v>4</v>
      </c>
      <c r="G639" s="235" t="s">
        <v>5</v>
      </c>
      <c r="H639" s="235" t="s">
        <v>6</v>
      </c>
      <c r="I639" s="236" t="s">
        <v>77</v>
      </c>
      <c r="J639" s="306"/>
      <c r="K639" s="501" t="str">
        <f t="shared" si="208"/>
        <v/>
      </c>
      <c r="L639" s="306" t="str">
        <f>IFERROR(VLOOKUP(B640,'Aktuelle Einnahmen'!A2:J104,10,0),"")</f>
        <v/>
      </c>
      <c r="M639" s="510" t="str">
        <f>M629</f>
        <v>Stufe C</v>
      </c>
      <c r="N639" s="237"/>
      <c r="O639" s="238"/>
      <c r="P639" s="238"/>
      <c r="Q639" s="239"/>
      <c r="R639" s="240"/>
      <c r="S639" s="241"/>
      <c r="T639" s="241"/>
      <c r="U639" s="242"/>
      <c r="V639" s="243"/>
      <c r="W639" s="241"/>
      <c r="X639" s="241"/>
      <c r="Y639" s="242"/>
      <c r="Z639" s="243"/>
      <c r="AA639" s="241"/>
      <c r="AB639" s="241"/>
      <c r="AC639" s="242"/>
      <c r="AD639" s="243"/>
      <c r="AE639" s="241"/>
      <c r="AF639" s="241"/>
      <c r="AG639" s="242"/>
      <c r="AH639" s="240"/>
      <c r="AI639" s="241"/>
      <c r="AJ639" s="241"/>
      <c r="AK639" s="377"/>
      <c r="AL639" s="347"/>
      <c r="AM639" s="353"/>
      <c r="AN639" s="353"/>
      <c r="AO639" s="353"/>
      <c r="AP639" s="353"/>
      <c r="AQ639" s="349"/>
      <c r="AR639" s="768"/>
      <c r="AS639" s="768"/>
      <c r="AT639" s="768"/>
      <c r="BM639" s="335"/>
    </row>
    <row r="640" spans="1:65" ht="23" customHeight="1">
      <c r="A640" s="181">
        <f t="shared" si="207"/>
        <v>45292</v>
      </c>
      <c r="B640" s="182">
        <v>64</v>
      </c>
      <c r="C640" s="245">
        <f>IFERROR(VLOOKUP($B640,'Aktuelle Einnahmen'!A2:G104,3,0),"")</f>
        <v>0</v>
      </c>
      <c r="D640" s="246">
        <f>IFERROR(VLOOKUP($B640,'Aktuelle Einnahmen'!A2:G104,2,0),"")</f>
        <v>0</v>
      </c>
      <c r="E640" s="247">
        <f>IFERROR(VLOOKUP($B640,'Aktuelle Einnahmen'!A2:G104,4,0),"")</f>
        <v>0</v>
      </c>
      <c r="F640" s="94">
        <f>IFERROR(VLOOKUP($B640,'Aktuelle Einnahmen'!A2:G104,5,0),"")</f>
        <v>0</v>
      </c>
      <c r="G640" s="94">
        <f>IFERROR(VLOOKUP($B640,'Aktuelle Einnahmen'!A2:G104,6,0),"")</f>
        <v>0</v>
      </c>
      <c r="H640" s="94">
        <f>IFERROR(VLOOKUP($B640,'Aktuelle Einnahmen'!A2:G104,7,0),"")</f>
        <v>0</v>
      </c>
      <c r="I640" s="186" t="e">
        <f>DATE(H640,G640,F640)</f>
        <v>#NUM!</v>
      </c>
      <c r="J640" s="472">
        <f ca="1">J630</f>
        <v>45475</v>
      </c>
      <c r="K640" s="506" t="str">
        <f t="shared" si="208"/>
        <v>+Inflat.-P</v>
      </c>
      <c r="L640" s="1262" t="str">
        <f>IFERROR(VLOOKUP(B640,'Aktuelle Einnahmen'!A22:I124,9,0),"")</f>
        <v>Auswahl treffen</v>
      </c>
      <c r="M640" s="1263"/>
      <c r="N640" s="261"/>
      <c r="O640" s="261"/>
      <c r="P640" s="261"/>
      <c r="Q640" s="261"/>
      <c r="R640" s="189"/>
      <c r="S640" s="190"/>
      <c r="T640" s="190"/>
      <c r="U640" s="191"/>
      <c r="V640" s="192"/>
      <c r="W640" s="190"/>
      <c r="X640" s="190"/>
      <c r="Y640" s="191"/>
      <c r="Z640" s="192"/>
      <c r="AA640" s="190"/>
      <c r="AB640" s="190"/>
      <c r="AC640" s="191"/>
      <c r="AD640" s="192"/>
      <c r="AE640" s="190"/>
      <c r="AF640" s="190"/>
      <c r="AG640" s="191"/>
      <c r="AH640" s="193"/>
      <c r="AI640" s="190"/>
      <c r="AJ640" s="190"/>
      <c r="AK640" s="374"/>
      <c r="AL640" s="348"/>
      <c r="AM640" s="354"/>
      <c r="AN640" s="354"/>
      <c r="AO640" s="354"/>
      <c r="AP640" s="354"/>
      <c r="AQ640" s="350"/>
      <c r="AR640" s="769"/>
      <c r="AS640" s="769"/>
      <c r="AT640" s="769"/>
      <c r="BM640" s="335"/>
    </row>
    <row r="641" spans="1:65" ht="22.25" customHeight="1">
      <c r="A641" s="181">
        <f t="shared" si="207"/>
        <v>45292</v>
      </c>
      <c r="B641" s="484" t="e">
        <f>DAY(I640)</f>
        <v>#NUM!</v>
      </c>
      <c r="C641" s="489" t="s">
        <v>158</v>
      </c>
      <c r="D641" s="520" t="e">
        <f>(I641*4)+J641/3+1</f>
        <v>#NUM!</v>
      </c>
      <c r="E641" s="194" t="e">
        <f>J643+1</f>
        <v>#NUM!</v>
      </c>
      <c r="F641" s="195" t="e">
        <f t="shared" ref="F641:F648" si="224">DAY(E641)</f>
        <v>#NUM!</v>
      </c>
      <c r="G641" s="196" t="e">
        <f t="shared" ref="G641:G648" si="225">MONTH(E641)</f>
        <v>#NUM!</v>
      </c>
      <c r="H641" s="195" t="e">
        <f t="shared" ref="H641:H648" si="226">YEAR(E641)</f>
        <v>#NUM!</v>
      </c>
      <c r="I641" s="197" t="e">
        <f>H641-(H640+2000)</f>
        <v>#NUM!</v>
      </c>
      <c r="J641" s="198" t="e">
        <f>G641-G640</f>
        <v>#NUM!</v>
      </c>
      <c r="K641" s="506" t="str">
        <f>L639</f>
        <v/>
      </c>
      <c r="L641" s="469"/>
      <c r="M641" s="473" t="e">
        <f ca="1">SUM(J640-E642)&amp;" Tage"</f>
        <v>#NUM!</v>
      </c>
      <c r="N641" s="206"/>
      <c r="O641" s="201"/>
      <c r="P641" s="201"/>
      <c r="Q641" s="202"/>
      <c r="R641" s="189"/>
      <c r="S641" s="203"/>
      <c r="T641" s="203"/>
      <c r="U641" s="204"/>
      <c r="V641" s="192"/>
      <c r="W641" s="203"/>
      <c r="X641" s="203"/>
      <c r="Y641" s="204"/>
      <c r="Z641" s="192"/>
      <c r="AA641" s="203"/>
      <c r="AB641" s="203"/>
      <c r="AC641" s="204"/>
      <c r="AD641" s="192"/>
      <c r="AE641" s="203"/>
      <c r="AF641" s="203"/>
      <c r="AG641" s="204"/>
      <c r="AH641" s="193"/>
      <c r="AI641" s="203"/>
      <c r="AJ641" s="203"/>
      <c r="AK641" s="375"/>
      <c r="AL641" s="348"/>
      <c r="AM641" s="354"/>
      <c r="AN641" s="354"/>
      <c r="AO641" s="354"/>
      <c r="AP641" s="354"/>
      <c r="AQ641" s="350"/>
      <c r="AR641" s="769"/>
      <c r="AS641" s="769"/>
      <c r="AT641" s="769"/>
      <c r="BM641" s="335"/>
    </row>
    <row r="642" spans="1:65" ht="22.25" customHeight="1">
      <c r="A642" s="181">
        <f t="shared" si="207"/>
        <v>45292</v>
      </c>
      <c r="B642" s="485"/>
      <c r="C642" s="490"/>
      <c r="D642" s="521"/>
      <c r="E642" s="194" t="e">
        <f>DATE(YEAR(E641),MONTH(E641)+3,DAY(E641)-1)</f>
        <v>#NUM!</v>
      </c>
      <c r="F642" s="195" t="e">
        <f t="shared" si="224"/>
        <v>#NUM!</v>
      </c>
      <c r="G642" s="196" t="e">
        <f t="shared" si="225"/>
        <v>#NUM!</v>
      </c>
      <c r="H642" s="195" t="e">
        <f t="shared" si="226"/>
        <v>#NUM!</v>
      </c>
      <c r="I642" s="244">
        <v>-1</v>
      </c>
      <c r="J642" s="198" t="e">
        <f>F641-F640</f>
        <v>#NUM!</v>
      </c>
      <c r="K642" s="501" t="str">
        <f t="shared" si="208"/>
        <v>+Inflat.-P</v>
      </c>
      <c r="L642" s="511" t="e">
        <f>IF(M639="Stufe A",IF(AND(L640="Auswahl treffen",D641&gt;=0,D641&lt;=1000),J639,IF(AND(L640="Vermögend und ambulant",D641&gt;8,D641&lt;=1000),130,IF(AND(L640="Vermögend und ambulant",D641&gt;4,D641&lt;=8),158,IF(AND(L640="Vermögend und ambulant",D641&gt;2,D641&lt;=4),192,IF(AND(L640="Vermögend und ambulant",D641&gt;1,D641&lt;=2),208,IF(AND(L640="Vermögend und ambulant",D641&gt;0,D641&lt;=1),298,IF(AND(L640="Vermögend und stationär",D641&gt;8,D641&lt;=1000),78,IF(AND(L640="Vermögend und stationär",D641&gt;4,D641&lt;=8),91,IF(AND(L640="Vermögend und stationär",D641&gt;2,D641&lt;=4),140,IF(AND(L640="Vermögend und stationär",D641&gt;1,D641&lt;=2),158,IF(AND(L640="Vermögend und stationär",D641&gt;0,D641&lt;=1),200,IF(AND(L640="Mittellos und ambulant",D641&gt;8,D641&lt;=1000),105,IF(AND(L640="Mittellos und ambulant",D641&gt;4,D641&lt;=8),122,IF(AND(L640="Mittellos und ambulant",D641&gt;2,D641&lt;=4),151,IF(AND(L640="Mittellos und ambulant",D641&gt;1,D641&lt;=2),170,IF(AND(L640="Mittellos und ambulant",D641&gt;0,D641&lt;=1),208,IF(AND(L640="Mittellos und stationär",D641&gt;8,D641&lt;=1000),62,IF(AND(L640="Mittellos und stationär",D641&gt;4,D641&lt;=8),87,IF(AND(L640="Mittellos und stationär",D641&gt;2,D641&lt;=4),124,IF(AND(L640="Mittellos und stationär",D641&gt;1,D641&lt;=2),129,IF(AND(L640="Mittellos und stationär",D641&gt;0,D641&lt;=1),194,""))))))))))))))))))))),IF(M639="Stufe B",IF(AND(L640="Auswahl treffen",D641&gt;=0,D641&lt;=1000),J639,IF(AND(L640="Vermögend und ambulant",D641&gt;8,D641&lt;=1000),161,IF(AND(L640="Vermögend und ambulant",D641&gt;4,D641&lt;=8),196,IF(AND(L640="Vermögend und ambulant",D641&gt;2,D641&lt;=4),238,IF(AND(L640="Vermögend und ambulant",D641&gt;1,D641&lt;=2),258,IF(AND(L640="Vermögend und ambulant",D641&gt;0,D641&lt;=1),370,IF(AND(L640="Vermögend und stationär",D641&gt;8,D641&lt;=1000),96,IF(AND(L640="Vermögend und stationär",D641&gt;4,D641&lt;=8),113,IF(AND(L640="Vermögend und stationär",D641&gt;2,D641&lt;=4),174,IF(AND(L640="Vermögend und stationär",D641&gt;1,D641&lt;=2),196,IF(AND(L640="Vermögend und stationär",D641&gt;0,D641&lt;=1),249,IF(AND(L640="Mittellos und ambulant",D641&gt;8,D641&lt;=1000),130,IF(AND(L640="Mittellos und ambulant",D641&gt;4,D641&lt;=8),151,IF(AND(L640="Mittellos und ambulant",D641&gt;2,D641&lt;=4),188,IF(AND(L640="Mittellos und ambulant",D641&gt;1,D641&lt;=2),211,IF(AND(L640="Mittellos und ambulant",D641&gt;0,D641&lt;=1),258,IF(AND(L640="Mittellos und stationär",D641&gt;8,D641&lt;=1000),78,IF(AND(L640="Mittellos und stationär",D641&gt;4,D641&lt;=8),107,IF(AND(L640="Mittellos und stationär",D641&gt;2,D641&lt;=4),154,IF(AND(L640="Mittellos und stationär",D641&gt;1,D641&lt;=2),158,IF(AND(L640="Mittellos und stationär",D641&gt;0,D641&lt;=1),241,""))))))))))))))))))))),IF(M639="Stufe C",IF(AND(L640="Auswahl treffen",D641&gt;=0,D641&lt;=1000),J639,IF(AND(L640="Vermögend und ambulant",D641&gt;8,D641&lt;=1000),211,IF(AND(L640="Vermögend und ambulant",D641&gt;4,D641&lt;=8),257,IF(AND(L640="Vermögend und ambulant",D641&gt;2,D641&lt;=4),312,IF(AND(L640="Vermögend und ambulant",D641&gt;1,D641&lt;=2),339,IF(AND(L640="Vermögend und ambulant",D641&gt;0,D641&lt;=1),486,IF(AND(L640="Vermögend und stationär",D641&gt;8,D641&lt;=1000),127,IF(AND(L640="Vermögend und stationär",D641&gt;4,D641&lt;=8),149,IF(AND(L640="Vermögend und stationär",D641&gt;2,D641&lt;=4),229,IF(AND(L640="Vermögend und stationär",D641&gt;1,D641&lt;=2),257,IF(AND(L640="Vermögend und stationär",D641&gt;0,D641&lt;=1),327,IF(AND(L640="Mittellos und ambulant",D641&gt;8,D641&lt;=1000),171,IF(AND(L640="Mittellos und ambulant",D641&gt;4,D641&lt;=8),198,IF(AND(L640="Mittellos und ambulant",D641&gt;2,D641&lt;=4),246,IF(AND(L640="Mittellos und ambulant",D641&gt;1,D641&lt;=2),277,IF(AND(L640="Mittellos und ambulant",D641&gt;0,D641&lt;=1),339,IF(AND(L640="Mittellos und stationär",D641&gt;8,D641&lt;=1000),102,IF(AND(L640="Mittellos und stationär",D641&gt;4,D641&lt;=8),141,IF(AND(L640="Mittellos und stationär",D641&gt;2,D641&lt;=4),202,IF(AND(L640="Mittellos und stationär",D641&gt;1,D641&lt;=2),208,IF(AND(L640="Mittellos und stationär",D641&gt;0,D641&lt;=1),317,""))))))))))))))))))))),"")))*3+(J639*90)</f>
        <v>#NUM!</v>
      </c>
      <c r="M642" s="507" t="str">
        <f>CONCATENATE(K642, K641)</f>
        <v>+Inflat.-P</v>
      </c>
      <c r="N642" s="206" t="s">
        <v>118</v>
      </c>
      <c r="O642" s="207"/>
      <c r="P642" s="207"/>
      <c r="Q642" s="208"/>
      <c r="R642" s="187"/>
      <c r="S642" s="209" t="s">
        <v>118</v>
      </c>
      <c r="T642" s="201" t="s">
        <v>117</v>
      </c>
      <c r="U642" s="210" t="s">
        <v>26</v>
      </c>
      <c r="V642" s="192"/>
      <c r="W642" s="203"/>
      <c r="X642" s="203"/>
      <c r="Y642" s="210"/>
      <c r="Z642" s="192"/>
      <c r="AA642" s="203"/>
      <c r="AB642" s="203"/>
      <c r="AC642" s="210"/>
      <c r="AD642" s="192"/>
      <c r="AE642" s="203"/>
      <c r="AF642" s="203"/>
      <c r="AG642" s="210"/>
      <c r="AH642" s="193"/>
      <c r="AI642" s="203"/>
      <c r="AJ642" s="203"/>
      <c r="AK642" s="376"/>
      <c r="AL642" s="348" t="s">
        <v>148</v>
      </c>
      <c r="AM642" s="354">
        <f>IF(SUM(N640:N648)=SUM(S640:S648), 0, SUM(N640:N648)-SUM(S640:S648))</f>
        <v>0</v>
      </c>
      <c r="AN642" s="354"/>
      <c r="AO642" s="354"/>
      <c r="AP642" s="354"/>
      <c r="AQ642" s="350">
        <f>AM642+AN642+AO642+AP642</f>
        <v>0</v>
      </c>
      <c r="AR642" s="769"/>
      <c r="AS642" s="769"/>
      <c r="AT642" s="769"/>
      <c r="BM642" s="335"/>
    </row>
    <row r="643" spans="1:65" ht="22.25" customHeight="1">
      <c r="A643" s="181">
        <f t="shared" si="207"/>
        <v>45292</v>
      </c>
      <c r="B643" s="484" t="e">
        <f>MONTH(I640)</f>
        <v>#NUM!</v>
      </c>
      <c r="C643" s="489" t="s">
        <v>158</v>
      </c>
      <c r="D643" s="522" t="e">
        <f>D641+1</f>
        <v>#NUM!</v>
      </c>
      <c r="E643" s="211" t="e">
        <f>DATE(YEAR(E642),MONTH(E642),DAY(E642)+1)</f>
        <v>#NUM!</v>
      </c>
      <c r="F643" s="212" t="e">
        <f t="shared" si="224"/>
        <v>#NUM!</v>
      </c>
      <c r="G643" s="213" t="e">
        <f t="shared" si="225"/>
        <v>#NUM!</v>
      </c>
      <c r="H643" s="212" t="e">
        <f t="shared" si="226"/>
        <v>#NUM!</v>
      </c>
      <c r="I643" s="214" t="str">
        <f>IF(D640&lt;&gt;0,"-1T","")</f>
        <v/>
      </c>
      <c r="J643" s="215" t="e">
        <f>DATE($B645,I644,$B641)</f>
        <v>#NUM!</v>
      </c>
      <c r="K643" s="506" t="str">
        <f t="shared" si="208"/>
        <v/>
      </c>
      <c r="L643" s="470"/>
      <c r="M643" s="473" t="e">
        <f ca="1">SUM(J640-E644)&amp;" Tage"</f>
        <v>#NUM!</v>
      </c>
      <c r="N643" s="216"/>
      <c r="O643" s="217"/>
      <c r="P643" s="188"/>
      <c r="Q643" s="217"/>
      <c r="R643" s="189"/>
      <c r="S643" s="190"/>
      <c r="T643" s="190"/>
      <c r="U643" s="191"/>
      <c r="V643" s="192"/>
      <c r="W643" s="190"/>
      <c r="X643" s="190"/>
      <c r="Y643" s="191"/>
      <c r="Z643" s="192"/>
      <c r="AA643" s="190"/>
      <c r="AB643" s="190"/>
      <c r="AC643" s="191"/>
      <c r="AD643" s="192"/>
      <c r="AE643" s="190"/>
      <c r="AF643" s="190"/>
      <c r="AG643" s="191"/>
      <c r="AH643" s="193"/>
      <c r="AI643" s="190"/>
      <c r="AJ643" s="190"/>
      <c r="AK643" s="374"/>
      <c r="AL643" s="348"/>
      <c r="AM643" s="354"/>
      <c r="AN643" s="354"/>
      <c r="AO643" s="354"/>
      <c r="AP643" s="354"/>
      <c r="AQ643" s="350"/>
      <c r="AR643" s="769"/>
      <c r="AS643" s="769"/>
      <c r="AT643" s="769"/>
      <c r="BM643" s="335"/>
    </row>
    <row r="644" spans="1:65" ht="22.25" customHeight="1">
      <c r="A644" s="181">
        <f t="shared" si="207"/>
        <v>45292</v>
      </c>
      <c r="B644" s="485"/>
      <c r="C644" s="490"/>
      <c r="D644" s="521"/>
      <c r="E644" s="218" t="e">
        <f>DATE(YEAR(E643),MONTH(E643)+3,DAY(E643)-1)</f>
        <v>#NUM!</v>
      </c>
      <c r="F644" s="212" t="e">
        <f t="shared" si="224"/>
        <v>#NUM!</v>
      </c>
      <c r="G644" s="213" t="e">
        <f t="shared" si="225"/>
        <v>#NUM!</v>
      </c>
      <c r="H644" s="212" t="e">
        <f t="shared" si="226"/>
        <v>#NUM!</v>
      </c>
      <c r="I644" s="219">
        <f>MAX(I645:I648)</f>
        <v>9</v>
      </c>
      <c r="J644" s="220" t="e">
        <f>DATE(YEAR(J643)+1,MONTH(J643),DAY(J643))</f>
        <v>#NUM!</v>
      </c>
      <c r="K644" s="501" t="str">
        <f t="shared" si="208"/>
        <v>+Inflat.-P</v>
      </c>
      <c r="L644" s="508" t="e">
        <f>IF(M639="Stufe A",IF(AND(L640="Auswahl treffen",D643&gt;=0,D643&lt;=1000),J639,IF(AND(L640="Vermögend und ambulant",D643&gt;8,D643&lt;=1000),130,IF(AND(L640="Vermögend und ambulant",D643&gt;4,D643&lt;=8),158,IF(AND(L640="Vermögend und ambulant",D643&gt;2,D643&lt;=4),192,IF(AND(L640="Vermögend und ambulant",D643&gt;1,D643&lt;=2),208,IF(AND(L640="Vermögend und ambulant",D643&gt;0,D643&lt;=1),298,IF(AND(L640="Vermögend und stationär",D643&gt;8,D643&lt;=1000),78,IF(AND(L640="Vermögend und stationär",D643&gt;4,D643&lt;=8),91,IF(AND(L640="Vermögend und stationär",D643&gt;2,D643&lt;=4),140,IF(AND(L640="Vermögend und stationär",D643&gt;1,D643&lt;=2),158,IF(AND(L640="Vermögend und stationär",D643&gt;0,D643&lt;=1),200,IF(AND(L640="Mittellos und ambulant",D643&gt;8,D643&lt;=1000),105,IF(AND(L640="Mittellos und ambulant",D643&gt;4,D643&lt;=8),122,IF(AND(L640="Mittellos und ambulant",D643&gt;2,D643&lt;=4),151,IF(AND(L640="Mittellos und ambulant",D643&gt;1,D643&lt;=2),170,IF(AND(L640="Mittellos und ambulant",D643&gt;0,D643&lt;=1),208,IF(AND(L640="Mittellos und stationär",D643&gt;8,D643&lt;=1000),62,IF(AND(L640="Mittellos und stationär",D643&gt;4,D643&lt;=8),87,IF(AND(L640="Mittellos und stationär",D643&gt;2,D643&lt;=4),124,IF(AND(L640="Mittellos und stationär",D643&gt;1,D643&lt;=2),129,IF(AND(L640="Mittellos und stationär",D643&gt;0,D643&lt;=1),194,""))))))))))))))))))))),IF(M639="Stufe B",IF(AND(L640="Auswahl treffen",D643&gt;=0,D643&lt;=1000),J639,IF(AND(L640="Vermögend und ambulant",D643&gt;8,D643&lt;=1000),161,IF(AND(L640="Vermögend und ambulant",D643&gt;4,D643&lt;=8),196,IF(AND(L640="Vermögend und ambulant",D643&gt;2,D643&lt;=4),238,IF(AND(L640="Vermögend und ambulant",D643&gt;1,D643&lt;=2),258,IF(AND(L640="Vermögend und ambulant",D643&gt;0,D643&lt;=1),370,IF(AND(L640="Vermögend und stationär",D643&gt;8,D643&lt;=1000),96,IF(AND(L640="Vermögend und stationär",D643&gt;4,D643&lt;=8),113,IF(AND(L640="Vermögend und stationär",D643&gt;2,D643&lt;=4),174,IF(AND(L640="Vermögend und stationär",D643&gt;1,D643&lt;=2),196,IF(AND(L640="Vermögend und stationär",D643&gt;0,D643&lt;=1),249,IF(AND(L640="Mittellos und ambulant",D643&gt;8,D643&lt;=1000),130,IF(AND(L640="Mittellos und ambulant",D643&gt;4,D643&lt;=8),151,IF(AND(L640="Mittellos und ambulant",D643&gt;2,D643&lt;=4),188,IF(AND(L640="Mittellos und ambulant",D643&gt;1,D643&lt;=2),211,IF(AND(L640="Mittellos und ambulant",D643&gt;0,D643&lt;=1),258,IF(AND(L640="Mittellos und stationär",D643&gt;8,D643&lt;=1000),78,IF(AND(L640="Mittellos und stationär",D643&gt;4,D643&lt;=8),107,IF(AND(L640="Mittellos und stationär",D643&gt;2,D643&lt;=4),154,IF(AND(L640="Mittellos und stationär",D643&gt;1,D643&lt;=2),158,IF(AND(L640="Mittellos und stationär",D643&gt;0,D643&lt;=1),241,""))))))))))))))))))))),IF(M639="Stufe C",IF(AND(L640="Auswahl treffen",D643&gt;=0,D643&lt;=1000),J639,IF(AND(L640="Vermögend und ambulant",D643&gt;8,D643&lt;=1000),211,IF(AND(L640="Vermögend und ambulant",D643&gt;4,D643&lt;=8),257,IF(AND(L640="Vermögend und ambulant",D643&gt;2,D643&lt;=4),312,IF(AND(L640="Vermögend und ambulant",D643&gt;1,D643&lt;=2),339,IF(AND(L640="Vermögend und ambulant",D643&gt;0,D643&lt;=1),486,IF(AND(L640="Vermögend und stationär",D643&gt;8,D643&lt;=1000),127,IF(AND(L640="Vermögend und stationär",D643&gt;4,D643&lt;=8),149,IF(AND(L640="Vermögend und stationär",D643&gt;2,D643&lt;=4),229,IF(AND(L640="Vermögend und stationär",D643&gt;1,D643&lt;=2),257,IF(AND(L640="Vermögend und stationär",D643&gt;0,D643&lt;=1),327,IF(AND(L640="Mittellos und ambulant",D643&gt;8,D643&lt;=1000),171,IF(AND(L640="Mittellos und ambulant",D643&gt;4,D643&lt;=8),198,IF(AND(L640="Mittellos und ambulant",D643&gt;2,D643&lt;=4),246,IF(AND(L640="Mittellos und ambulant",D643&gt;1,D643&lt;=2),277,IF(AND(L640="Mittellos und ambulant",D643&gt;0,D643&lt;=1),339,IF(AND(L640="Mittellos und stationär",D643&gt;8,D643&lt;=1000),102,IF(AND(L640="Mittellos und stationär",D643&gt;4,D643&lt;=8),141,IF(AND(L640="Mittellos und stationär",D643&gt;2,D643&lt;=4),202,IF(AND(L640="Mittellos und stationär",D643&gt;1,D643&lt;=2),208,IF(AND(L640="Mittellos und stationär",D643&gt;0,D643&lt;=1),317,""))))))))))))))))))))),"")))*3+(J639*90)</f>
        <v>#NUM!</v>
      </c>
      <c r="M644" s="507" t="str">
        <f>CONCATENATE(K644, K643)</f>
        <v>+Inflat.-P</v>
      </c>
      <c r="N644" s="216"/>
      <c r="O644" s="188" t="s">
        <v>118</v>
      </c>
      <c r="P644" s="188"/>
      <c r="Q644" s="221"/>
      <c r="R644" s="199"/>
      <c r="S644" s="190"/>
      <c r="T644" s="190"/>
      <c r="U644" s="191"/>
      <c r="V644" s="192"/>
      <c r="W644" s="222" t="s">
        <v>118</v>
      </c>
      <c r="X644" s="222" t="s">
        <v>117</v>
      </c>
      <c r="Y644" s="191" t="s">
        <v>26</v>
      </c>
      <c r="Z644" s="192"/>
      <c r="AA644" s="190"/>
      <c r="AB644" s="190"/>
      <c r="AC644" s="191"/>
      <c r="AD644" s="192"/>
      <c r="AE644" s="190"/>
      <c r="AF644" s="190"/>
      <c r="AG644" s="191"/>
      <c r="AH644" s="193"/>
      <c r="AI644" s="190"/>
      <c r="AJ644" s="190"/>
      <c r="AK644" s="374"/>
      <c r="AL644" s="348" t="s">
        <v>149</v>
      </c>
      <c r="AM644" s="354"/>
      <c r="AN644" s="354">
        <f>IF(SUM(O640:O648)=SUM(W640:W648), 0, SUM(O640:O648)-SUM(W640:W648))</f>
        <v>0</v>
      </c>
      <c r="AO644" s="354"/>
      <c r="AP644" s="354"/>
      <c r="AQ644" s="350">
        <f>AM644+AN644+AO644+AP644</f>
        <v>0</v>
      </c>
      <c r="AR644" s="769"/>
      <c r="AS644" s="769"/>
      <c r="AT644" s="769"/>
      <c r="BM644" s="335"/>
    </row>
    <row r="645" spans="1:65" ht="22.25" customHeight="1">
      <c r="A645" s="181">
        <f t="shared" si="207"/>
        <v>45292</v>
      </c>
      <c r="B645" s="484">
        <f>YEAR($A646)-1</f>
        <v>2023</v>
      </c>
      <c r="C645" s="489" t="s">
        <v>158</v>
      </c>
      <c r="D645" s="520" t="e">
        <f>D643+1</f>
        <v>#NUM!</v>
      </c>
      <c r="E645" s="194" t="e">
        <f>DATE(YEAR(E644),MONTH(E644),DAY(E644)+1)</f>
        <v>#NUM!</v>
      </c>
      <c r="F645" s="195" t="e">
        <f t="shared" si="224"/>
        <v>#NUM!</v>
      </c>
      <c r="G645" s="196" t="e">
        <f t="shared" si="225"/>
        <v>#NUM!</v>
      </c>
      <c r="H645" s="195" t="e">
        <f t="shared" si="226"/>
        <v>#NUM!</v>
      </c>
      <c r="I645" s="197">
        <f>IF(J647&lt;13,J647,"")</f>
        <v>9</v>
      </c>
      <c r="J645" s="224">
        <f>G640</f>
        <v>0</v>
      </c>
      <c r="K645" s="506" t="str">
        <f t="shared" si="208"/>
        <v/>
      </c>
      <c r="L645" s="471"/>
      <c r="M645" s="473" t="e">
        <f ca="1">SUM(J640-E646)&amp;" Tage"</f>
        <v>#NUM!</v>
      </c>
      <c r="N645" s="200"/>
      <c r="O645" s="201"/>
      <c r="P645" s="201"/>
      <c r="Q645" s="202"/>
      <c r="R645" s="189"/>
      <c r="S645" s="203"/>
      <c r="T645" s="203"/>
      <c r="U645" s="204"/>
      <c r="V645" s="192"/>
      <c r="W645" s="203"/>
      <c r="X645" s="203"/>
      <c r="Y645" s="204"/>
      <c r="Z645" s="192"/>
      <c r="AA645" s="203"/>
      <c r="AB645" s="203"/>
      <c r="AC645" s="204"/>
      <c r="AD645" s="192"/>
      <c r="AE645" s="203"/>
      <c r="AF645" s="203"/>
      <c r="AG645" s="204"/>
      <c r="AH645" s="193"/>
      <c r="AI645" s="203"/>
      <c r="AJ645" s="203"/>
      <c r="AK645" s="375"/>
      <c r="AL645" s="348"/>
      <c r="AM645" s="354"/>
      <c r="AN645" s="354"/>
      <c r="AO645" s="354"/>
      <c r="AP645" s="354"/>
      <c r="AQ645" s="350"/>
      <c r="AR645" s="769"/>
      <c r="AS645" s="769"/>
      <c r="AT645" s="769"/>
      <c r="BM645" s="335"/>
    </row>
    <row r="646" spans="1:65" ht="22.25" customHeight="1">
      <c r="A646" s="181">
        <f t="shared" si="207"/>
        <v>45292</v>
      </c>
      <c r="B646" s="485"/>
      <c r="C646" s="490"/>
      <c r="D646" s="521"/>
      <c r="E646" s="194" t="e">
        <f>DATE(YEAR(E645),MONTH(E645)+3,DAY(E645)-1)</f>
        <v>#NUM!</v>
      </c>
      <c r="F646" s="195" t="e">
        <f t="shared" si="224"/>
        <v>#NUM!</v>
      </c>
      <c r="G646" s="196" t="e">
        <f t="shared" si="225"/>
        <v>#NUM!</v>
      </c>
      <c r="H646" s="195" t="e">
        <f t="shared" si="226"/>
        <v>#NUM!</v>
      </c>
      <c r="I646" s="244">
        <f>IF(J648&lt;13,J648,"")</f>
        <v>6</v>
      </c>
      <c r="J646" s="224">
        <f>J645+3</f>
        <v>3</v>
      </c>
      <c r="K646" s="501" t="str">
        <f t="shared" si="208"/>
        <v>+Inflat.-P</v>
      </c>
      <c r="L646" s="511" t="e">
        <f>IF(M639="Stufe A",IF(AND(L640="Auswahl treffen",D645&gt;=0,D645&lt;=1000),J639,IF(AND(L640="Vermögend und ambulant",D645&gt;8,D645&lt;=1000),130,IF(AND(L640="Vermögend und ambulant",D645&gt;4,D645&lt;=8),158,IF(AND(L640="Vermögend und ambulant",D645&gt;2,D645&lt;=4),192,IF(AND(L640="Vermögend und ambulant",D645&gt;1,D645&lt;=2),208,IF(AND(L640="Vermögend und ambulant",D645&gt;0,D645&lt;=1),298,IF(AND(L640="Vermögend und stationär",D645&gt;8,D645&lt;=1000),78,IF(AND(L640="Vermögend und stationär",D645&gt;4,D645&lt;=8),91,IF(AND(L640="Vermögend und stationär",D645&gt;2,D645&lt;=4),140,IF(AND(L640="Vermögend und stationär",D645&gt;1,D645&lt;=2),158,IF(AND(L640="Vermögend und stationär",D645&gt;0,D645&lt;=1),200,IF(AND(L640="Mittellos und ambulant",D645&gt;8,D645&lt;=1000),105,IF(AND(L640="Mittellos und ambulant",D645&gt;4,D645&lt;=8),122,IF(AND(L640="Mittellos und ambulant",D645&gt;2,D645&lt;=4),151,IF(AND(L640="Mittellos und ambulant",D645&gt;1,D645&lt;=2),170,IF(AND(L640="Mittellos und ambulant",D645&gt;0,D645&lt;=1),208,IF(AND(L640="Mittellos und stationär",D645&gt;8,D645&lt;=1000),62,IF(AND(L640="Mittellos und stationär",D645&gt;4,D645&lt;=8),87,IF(AND(L640="Mittellos und stationär",D645&gt;2,D645&lt;=4),124,IF(AND(L640="Mittellos und stationär",D645&gt;1,D645&lt;=2),129,IF(AND(L640="Mittellos und stationär",D645&gt;0,D645&lt;=1),194,""))))))))))))))))))))),IF(M639="Stufe B",IF(AND(L640="Auswahl treffen",D645&gt;=0,D645&lt;=1000),J639,IF(AND(L640="Vermögend und ambulant",D645&gt;8,D645&lt;=1000),161,IF(AND(L640="Vermögend und ambulant",D645&gt;4,D645&lt;=8),196,IF(AND(L640="Vermögend und ambulant",D645&gt;2,D645&lt;=4),238,IF(AND(L640="Vermögend und ambulant",D645&gt;1,D645&lt;=2),258,IF(AND(L640="Vermögend und ambulant",D645&gt;0,D645&lt;=1),370,IF(AND(L640="Vermögend und stationär",D645&gt;8,D645&lt;=1000),96,IF(AND(L640="Vermögend und stationär",D645&gt;4,D645&lt;=8),113,IF(AND(L640="Vermögend und stationär",D645&gt;2,D645&lt;=4),174,IF(AND(L640="Vermögend und stationär",D645&gt;1,D645&lt;=2),196,IF(AND(L640="Vermögend und stationär",D645&gt;0,D645&lt;=1),249,IF(AND(L640="Mittellos und ambulant",D645&gt;8,D645&lt;=1000),130,IF(AND(L640="Mittellos und ambulant",D645&gt;4,D645&lt;=8),151,IF(AND(L640="Mittellos und ambulant",D645&gt;2,D645&lt;=4),188,IF(AND(L640="Mittellos und ambulant",D645&gt;1,D645&lt;=2),211,IF(AND(L640="Mittellos und ambulant",D645&gt;0,D645&lt;=1),258,IF(AND(L640="Mittellos und stationär",D645&gt;8,D645&lt;=1000),78,IF(AND(L640="Mittellos und stationär",D645&gt;4,D645&lt;=8),107,IF(AND(L640="Mittellos und stationär",D645&gt;2,D645&lt;=4),154,IF(AND(L640="Mittellos und stationär",D645&gt;1,D645&lt;=2),158,IF(AND(L640="Mittellos und stationär",D645&gt;0,D645&lt;=1),241,""))))))))))))))))))))),IF(M639="Stufe C",IF(AND(L640="Auswahl treffen",D645&gt;=0,D645&lt;=1000),J639,IF(AND(L640="Vermögend und ambulant",D645&gt;8,D645&lt;=1000),211,IF(AND(L640="Vermögend und ambulant",D645&gt;4,D645&lt;=8),257,IF(AND(L640="Vermögend und ambulant",D645&gt;2,D645&lt;=4),312,IF(AND(L640="Vermögend und ambulant",D645&gt;1,D645&lt;=2),339,IF(AND(L640="Vermögend und ambulant",D645&gt;0,D645&lt;=1),486,IF(AND(L640="Vermögend und stationär",D645&gt;8,D645&lt;=1000),127,IF(AND(L640="Vermögend und stationär",D645&gt;4,D645&lt;=8),149,IF(AND(L640="Vermögend und stationär",D645&gt;2,D645&lt;=4),229,IF(AND(L640="Vermögend und stationär",D645&gt;1,D645&lt;=2),257,IF(AND(L640="Vermögend und stationär",D645&gt;0,D645&lt;=1),327,IF(AND(L640="Mittellos und ambulant",D645&gt;8,D645&lt;=1000),171,IF(AND(L640="Mittellos und ambulant",D645&gt;4,D645&lt;=8),198,IF(AND(L640="Mittellos und ambulant",D645&gt;2,D645&lt;=4),246,IF(AND(L640="Mittellos und ambulant",D645&gt;1,D645&lt;=2),277,IF(AND(L640="Mittellos und ambulant",D645&gt;0,D645&lt;=1),339,IF(AND(L640="Mittellos und stationär",D645&gt;8,D645&lt;=1000),102,IF(AND(L640="Mittellos und stationär",D645&gt;4,D645&lt;=8),141,IF(AND(L640="Mittellos und stationär",D645&gt;2,D645&lt;=4),202,IF(AND(L640="Mittellos und stationär",D645&gt;1,D645&lt;=2),208,IF(AND(L640="Mittellos und stationär",D645&gt;0,D645&lt;=1),317,""))))))))))))))))))))),"")))*3+(J639*90)</f>
        <v>#NUM!</v>
      </c>
      <c r="M646" s="507" t="str">
        <f>CONCATENATE(K646, K645)</f>
        <v>+Inflat.-P</v>
      </c>
      <c r="N646" s="206"/>
      <c r="O646" s="207"/>
      <c r="P646" s="206" t="s">
        <v>118</v>
      </c>
      <c r="Q646" s="226"/>
      <c r="R646" s="189"/>
      <c r="S646" s="203"/>
      <c r="T646" s="203"/>
      <c r="U646" s="204"/>
      <c r="V646" s="192"/>
      <c r="W646" s="203"/>
      <c r="X646" s="203"/>
      <c r="Y646" s="204"/>
      <c r="Z646" s="192"/>
      <c r="AA646" s="209" t="s">
        <v>118</v>
      </c>
      <c r="AB646" s="209" t="s">
        <v>117</v>
      </c>
      <c r="AC646" s="204" t="s">
        <v>26</v>
      </c>
      <c r="AD646" s="192"/>
      <c r="AE646" s="203"/>
      <c r="AF646" s="203"/>
      <c r="AG646" s="204"/>
      <c r="AH646" s="193"/>
      <c r="AI646" s="203"/>
      <c r="AJ646" s="203"/>
      <c r="AK646" s="375"/>
      <c r="AL646" s="348" t="s">
        <v>150</v>
      </c>
      <c r="AM646" s="354"/>
      <c r="AN646" s="354"/>
      <c r="AO646" s="354">
        <f>IF(SUM(P640:P648)=SUM(AA640:AA648), 0, SUM(P640:P648)-SUM(AA640:AA648))</f>
        <v>0</v>
      </c>
      <c r="AP646" s="354"/>
      <c r="AQ646" s="350">
        <f>AM646+AN646+AO646+AP646</f>
        <v>0</v>
      </c>
      <c r="AR646" s="769"/>
      <c r="AS646" s="769"/>
      <c r="AT646" s="769"/>
      <c r="BM646" s="335"/>
    </row>
    <row r="647" spans="1:65" ht="22.25" customHeight="1">
      <c r="A647" s="181">
        <f t="shared" si="207"/>
        <v>45292</v>
      </c>
      <c r="B647" s="486"/>
      <c r="C647" s="489" t="s">
        <v>158</v>
      </c>
      <c r="D647" s="522" t="e">
        <f>D645+1</f>
        <v>#NUM!</v>
      </c>
      <c r="E647" s="211" t="e">
        <f>DATE(YEAR(E646),MONTH(E646),DAY(E646)+1)</f>
        <v>#NUM!</v>
      </c>
      <c r="F647" s="227" t="e">
        <f t="shared" si="224"/>
        <v>#NUM!</v>
      </c>
      <c r="G647" s="228" t="e">
        <f t="shared" si="225"/>
        <v>#NUM!</v>
      </c>
      <c r="H647" s="227" t="e">
        <f t="shared" si="226"/>
        <v>#NUM!</v>
      </c>
      <c r="I647" s="231">
        <f>IF(J646&lt;13,J646,"")</f>
        <v>3</v>
      </c>
      <c r="J647" s="230">
        <f>J648+3</f>
        <v>9</v>
      </c>
      <c r="K647" s="506" t="str">
        <f t="shared" si="208"/>
        <v/>
      </c>
      <c r="L647" s="471"/>
      <c r="M647" s="473" t="e">
        <f ca="1">SUM(J640-E648)&amp;" Tage"</f>
        <v>#NUM!</v>
      </c>
      <c r="N647" s="216"/>
      <c r="O647" s="188"/>
      <c r="P647" s="188"/>
      <c r="Q647" s="217"/>
      <c r="R647" s="189"/>
      <c r="S647" s="190"/>
      <c r="T647" s="190"/>
      <c r="U647" s="191"/>
      <c r="V647" s="192"/>
      <c r="W647" s="190"/>
      <c r="X647" s="190"/>
      <c r="Y647" s="191"/>
      <c r="Z647" s="192"/>
      <c r="AA647" s="190"/>
      <c r="AB647" s="190"/>
      <c r="AC647" s="191"/>
      <c r="AD647" s="192"/>
      <c r="AE647" s="190"/>
      <c r="AF647" s="190"/>
      <c r="AG647" s="191"/>
      <c r="AH647" s="193"/>
      <c r="AI647" s="190"/>
      <c r="AJ647" s="190"/>
      <c r="AK647" s="374"/>
      <c r="AL647" s="348"/>
      <c r="AM647" s="354"/>
      <c r="AN647" s="354"/>
      <c r="AO647" s="354"/>
      <c r="AP647" s="354"/>
      <c r="AQ647" s="350"/>
      <c r="AR647" s="769"/>
      <c r="AS647" s="769"/>
      <c r="AT647" s="769"/>
      <c r="BM647" s="335"/>
    </row>
    <row r="648" spans="1:65" ht="22.25" customHeight="1">
      <c r="A648" s="181">
        <f t="shared" si="207"/>
        <v>45292</v>
      </c>
      <c r="B648" s="485"/>
      <c r="C648" s="490"/>
      <c r="D648" s="521"/>
      <c r="E648" s="218" t="e">
        <f>DATE(YEAR(E647),MONTH(E647)+3,DAY(E647)-1)</f>
        <v>#NUM!</v>
      </c>
      <c r="F648" s="227" t="e">
        <f t="shared" si="224"/>
        <v>#NUM!</v>
      </c>
      <c r="G648" s="228" t="e">
        <f t="shared" si="225"/>
        <v>#NUM!</v>
      </c>
      <c r="H648" s="227" t="e">
        <f t="shared" si="226"/>
        <v>#NUM!</v>
      </c>
      <c r="I648" s="231">
        <f>IF(J645&lt;13,J645,"")</f>
        <v>0</v>
      </c>
      <c r="J648" s="230">
        <f>J646+3</f>
        <v>6</v>
      </c>
      <c r="K648" s="501" t="str">
        <f t="shared" si="208"/>
        <v>+Inflat.-P</v>
      </c>
      <c r="L648" s="508" t="e">
        <f>IF(M639="Stufe A",IF(AND(L640="Auswahl treffen",D647&gt;=0,D647&lt;=1000),J639,IF(AND(L640="Vermögend und ambulant",D647&gt;8,D647&lt;=1000),130,IF(AND(L640="Vermögend und ambulant",D647&gt;4,D647&lt;=8),158,IF(AND(L640="Vermögend und ambulant",D647&gt;2,D647&lt;=4),192,IF(AND(L640="Vermögend und ambulant",D647&gt;1,D647&lt;=2),208,IF(AND(L640="Vermögend und ambulant",D647&gt;0,D647&lt;=1),298,IF(AND(L640="Vermögend und stationär",D647&gt;8,D647&lt;=1000),78,IF(AND(L640="Vermögend und stationär",D647&gt;4,D647&lt;=8),91,IF(AND(L640="Vermögend und stationär",D647&gt;2,D647&lt;=4),140,IF(AND(L640="Vermögend und stationär",D647&gt;1,D647&lt;=2),158,IF(AND(L640="Vermögend und stationär",D647&gt;0,D647&lt;=1),200,IF(AND(L640="Mittellos und ambulant",D647&gt;8,D647&lt;=1000),105,IF(AND(L640="Mittellos und ambulant",D647&gt;4,D647&lt;=8),122,IF(AND(L640="Mittellos und ambulant",D647&gt;2,D647&lt;=4),151,IF(AND(L640="Mittellos und ambulant",D647&gt;1,D647&lt;=2),170,IF(AND(L640="Mittellos und ambulant",D647&gt;0,D647&lt;=1),208,IF(AND(L640="Mittellos und stationär",D647&gt;8,D647&lt;=1000),62,IF(AND(L640="Mittellos und stationär",D647&gt;4,D647&lt;=8),87,IF(AND(L640="Mittellos und stationär",D647&gt;2,D647&lt;=4),124,IF(AND(L640="Mittellos und stationär",D647&gt;1,D647&lt;=2),129,IF(AND(L640="Mittellos und stationär",D647&gt;0,D647&lt;=1),194,""))))))))))))))))))))),IF(M639="Stufe B",IF(AND(L640="Auswahl treffen",D647&gt;=0,D647&lt;=1000),J639,IF(AND(L640="Vermögend und ambulant",D647&gt;8,D647&lt;=1000),161,IF(AND(L640="Vermögend und ambulant",D647&gt;4,D647&lt;=8),196,IF(AND(L640="Vermögend und ambulant",D647&gt;2,D647&lt;=4),238,IF(AND(L640="Vermögend und ambulant",D647&gt;1,D647&lt;=2),258,IF(AND(L640="Vermögend und ambulant",D647&gt;0,D647&lt;=1),370,IF(AND(L640="Vermögend und stationär",D647&gt;8,D647&lt;=1000),96,IF(AND(L640="Vermögend und stationär",D647&gt;4,D647&lt;=8),113,IF(AND(L640="Vermögend und stationär",D647&gt;2,D647&lt;=4),174,IF(AND(L640="Vermögend und stationär",D647&gt;1,D647&lt;=2),196,IF(AND(L640="Vermögend und stationär",D647&gt;0,D647&lt;=1),249,IF(AND(L640="Mittellos und ambulant",D647&gt;8,D647&lt;=1000),130,IF(AND(L640="Mittellos und ambulant",D647&gt;4,D647&lt;=8),151,IF(AND(L640="Mittellos und ambulant",D647&gt;2,D647&lt;=4),188,IF(AND(L640="Mittellos und ambulant",D647&gt;1,D647&lt;=2),211,IF(AND(L640="Mittellos und ambulant",D647&gt;0,D647&lt;=1),258,IF(AND(L640="Mittellos und stationär",D647&gt;8,D647&lt;=1000),78,IF(AND(L640="Mittellos und stationär",D647&gt;4,D647&lt;=8),107,IF(AND(L640="Mittellos und stationär",D647&gt;2,D647&lt;=4),154,IF(AND(L640="Mittellos und stationär",D647&gt;1,D647&lt;=2),158,IF(AND(L640="Mittellos und stationär",D647&gt;0,D647&lt;=1),241,""))))))))))))))))))))),IF(M639="Stufe C",IF(AND(L640="Auswahl treffen",D647&gt;=0,D647&lt;=1000),J639,IF(AND(L640="Vermögend und ambulant",D647&gt;8,D647&lt;=1000),211,IF(AND(L640="Vermögend und ambulant",D647&gt;4,D647&lt;=8),257,IF(AND(L640="Vermögend und ambulant",D647&gt;2,D647&lt;=4),312,IF(AND(L640="Vermögend und ambulant",D647&gt;1,D647&lt;=2),339,IF(AND(L640="Vermögend und ambulant",D647&gt;0,D647&lt;=1),486,IF(AND(L640="Vermögend und stationär",D647&gt;8,D647&lt;=1000),127,IF(AND(L640="Vermögend und stationär",D647&gt;4,D647&lt;=8),149,IF(AND(L640="Vermögend und stationär",D647&gt;2,D647&lt;=4),229,IF(AND(L640="Vermögend und stationär",D647&gt;1,D647&lt;=2),257,IF(AND(L640="Vermögend und stationär",D647&gt;0,D647&lt;=1),327,IF(AND(L640="Mittellos und ambulant",D647&gt;8,D647&lt;=1000),171,IF(AND(L640="Mittellos und ambulant",D647&gt;4,D647&lt;=8),198,IF(AND(L640="Mittellos und ambulant",D647&gt;2,D647&lt;=4),246,IF(AND(L640="Mittellos und ambulant",D647&gt;1,D647&lt;=2),277,IF(AND(L640="Mittellos und ambulant",D647&gt;0,D647&lt;=1),339,IF(AND(L640="Mittellos und stationär",D647&gt;8,D647&lt;=1000),102,IF(AND(L640="Mittellos und stationär",D647&gt;4,D647&lt;=8),141,IF(AND(L640="Mittellos und stationär",D647&gt;2,D647&lt;=4),202,IF(AND(L640="Mittellos und stationär",D647&gt;1,D647&lt;=2),208,IF(AND(L640="Mittellos und stationär",D647&gt;0,D647&lt;=1),317,""))))))))))))))))))))),"")))*3+(J639*90)</f>
        <v>#NUM!</v>
      </c>
      <c r="M648" s="507" t="str">
        <f>CONCATENATE(K648, K647)</f>
        <v>+Inflat.-P</v>
      </c>
      <c r="N648" s="216"/>
      <c r="O648" s="188"/>
      <c r="P648" s="188"/>
      <c r="Q648" s="217" t="s">
        <v>118</v>
      </c>
      <c r="R648" s="189"/>
      <c r="S648" s="190"/>
      <c r="T648" s="190"/>
      <c r="U648" s="191"/>
      <c r="V648" s="192"/>
      <c r="W648" s="190"/>
      <c r="X648" s="190"/>
      <c r="Y648" s="191"/>
      <c r="Z648" s="192"/>
      <c r="AA648" s="190"/>
      <c r="AB648" s="190"/>
      <c r="AC648" s="191"/>
      <c r="AD648" s="192"/>
      <c r="AE648" s="190" t="s">
        <v>118</v>
      </c>
      <c r="AF648" s="190" t="s">
        <v>117</v>
      </c>
      <c r="AG648" s="191" t="s">
        <v>26</v>
      </c>
      <c r="AH648" s="193"/>
      <c r="AI648" s="190" t="s">
        <v>118</v>
      </c>
      <c r="AJ648" s="190" t="s">
        <v>117</v>
      </c>
      <c r="AK648" s="374" t="s">
        <v>26</v>
      </c>
      <c r="AL648" s="348" t="s">
        <v>151</v>
      </c>
      <c r="AM648" s="354"/>
      <c r="AN648" s="354"/>
      <c r="AO648" s="354"/>
      <c r="AP648" s="354">
        <f>IF(SUM(Q640:Q648)=SUM(AE640:AE648,AI640:AI648), 0, SUM(Q640:Q648)-SUM(AE640:AE648,AI640:AI648))</f>
        <v>0</v>
      </c>
      <c r="AQ648" s="350">
        <f>AM648+AN648+AO648+AP648</f>
        <v>0</v>
      </c>
      <c r="AR648" s="769"/>
      <c r="AS648" s="769"/>
      <c r="AT648" s="769"/>
      <c r="BM648" s="335"/>
    </row>
    <row r="649" spans="1:65" ht="22" customHeight="1">
      <c r="A649" s="181">
        <f t="shared" ref="A649:A712" si="227">$A648</f>
        <v>45292</v>
      </c>
      <c r="B649" s="232" t="s">
        <v>74</v>
      </c>
      <c r="C649" s="233" t="s">
        <v>75</v>
      </c>
      <c r="D649" s="234" t="s">
        <v>76</v>
      </c>
      <c r="E649" s="235" t="s">
        <v>11</v>
      </c>
      <c r="F649" s="235" t="s">
        <v>4</v>
      </c>
      <c r="G649" s="235" t="s">
        <v>5</v>
      </c>
      <c r="H649" s="235" t="s">
        <v>6</v>
      </c>
      <c r="I649" s="236" t="s">
        <v>77</v>
      </c>
      <c r="J649" s="479"/>
      <c r="K649" s="501" t="str">
        <f t="shared" si="208"/>
        <v/>
      </c>
      <c r="L649" s="479" t="str">
        <f>IFERROR(VLOOKUP(B650,'Aktuelle Einnahmen'!A2:J104,10,0),"")</f>
        <v/>
      </c>
      <c r="M649" s="512" t="str">
        <f>M639</f>
        <v>Stufe C</v>
      </c>
      <c r="N649" s="237"/>
      <c r="O649" s="238"/>
      <c r="P649" s="238"/>
      <c r="Q649" s="239"/>
      <c r="R649" s="240"/>
      <c r="S649" s="241"/>
      <c r="T649" s="241"/>
      <c r="U649" s="242"/>
      <c r="V649" s="243"/>
      <c r="W649" s="241"/>
      <c r="X649" s="241"/>
      <c r="Y649" s="242"/>
      <c r="Z649" s="243"/>
      <c r="AA649" s="241"/>
      <c r="AB649" s="241"/>
      <c r="AC649" s="242"/>
      <c r="AD649" s="243"/>
      <c r="AE649" s="241"/>
      <c r="AF649" s="241"/>
      <c r="AG649" s="242"/>
      <c r="AH649" s="240"/>
      <c r="AI649" s="241"/>
      <c r="AJ649" s="241"/>
      <c r="AK649" s="377"/>
      <c r="AL649" s="347"/>
      <c r="AM649" s="353"/>
      <c r="AN649" s="353"/>
      <c r="AO649" s="353"/>
      <c r="AP649" s="353"/>
      <c r="AQ649" s="349"/>
      <c r="AR649" s="768"/>
      <c r="AS649" s="768"/>
      <c r="AT649" s="768"/>
      <c r="BM649" s="335"/>
    </row>
    <row r="650" spans="1:65" ht="23" customHeight="1">
      <c r="A650" s="181">
        <f t="shared" si="227"/>
        <v>45292</v>
      </c>
      <c r="B650" s="182">
        <v>65</v>
      </c>
      <c r="C650" s="245">
        <f>IFERROR(VLOOKUP($B650,'Aktuelle Einnahmen'!A2:G104,3,0),"")</f>
        <v>0</v>
      </c>
      <c r="D650" s="246">
        <f>IFERROR(VLOOKUP($B650,'Aktuelle Einnahmen'!A2:G104,2,0),"")</f>
        <v>0</v>
      </c>
      <c r="E650" s="247">
        <f>IFERROR(VLOOKUP($B650,'Aktuelle Einnahmen'!A2:G104,4,0),"")</f>
        <v>0</v>
      </c>
      <c r="F650" s="94">
        <f>IFERROR(VLOOKUP($B650,'Aktuelle Einnahmen'!A2:G104,5,0),"")</f>
        <v>0</v>
      </c>
      <c r="G650" s="94">
        <f>IFERROR(VLOOKUP($B650,'Aktuelle Einnahmen'!A2:G104,6,0),"")</f>
        <v>0</v>
      </c>
      <c r="H650" s="94">
        <f>IFERROR(VLOOKUP($B650,'Aktuelle Einnahmen'!A2:G104,7,0),"")</f>
        <v>0</v>
      </c>
      <c r="I650" s="186" t="e">
        <f>DATE(H650,G650,F650)</f>
        <v>#NUM!</v>
      </c>
      <c r="J650" s="472">
        <f ca="1">J640</f>
        <v>45475</v>
      </c>
      <c r="K650" s="506" t="str">
        <f t="shared" si="208"/>
        <v>+Inflat.-P</v>
      </c>
      <c r="L650" s="1262" t="str">
        <f>IFERROR(VLOOKUP(B650,'Aktuelle Einnahmen'!A22:I124,9,0),"")</f>
        <v>Auswahl treffen</v>
      </c>
      <c r="M650" s="1263"/>
      <c r="N650" s="261"/>
      <c r="O650" s="261"/>
      <c r="P650" s="261"/>
      <c r="Q650" s="261"/>
      <c r="R650" s="189"/>
      <c r="S650" s="190"/>
      <c r="T650" s="190"/>
      <c r="U650" s="191"/>
      <c r="V650" s="192"/>
      <c r="W650" s="190"/>
      <c r="X650" s="190"/>
      <c r="Y650" s="191"/>
      <c r="Z650" s="192"/>
      <c r="AA650" s="190"/>
      <c r="AB650" s="190"/>
      <c r="AC650" s="191"/>
      <c r="AD650" s="192"/>
      <c r="AE650" s="190"/>
      <c r="AF650" s="190"/>
      <c r="AG650" s="191"/>
      <c r="AH650" s="193"/>
      <c r="AI650" s="190"/>
      <c r="AJ650" s="190"/>
      <c r="AK650" s="374"/>
      <c r="AL650" s="348"/>
      <c r="AM650" s="354"/>
      <c r="AN650" s="354"/>
      <c r="AO650" s="354"/>
      <c r="AP650" s="354"/>
      <c r="AQ650" s="350"/>
      <c r="AR650" s="769"/>
      <c r="AS650" s="769"/>
      <c r="AT650" s="769"/>
      <c r="BM650" s="335"/>
    </row>
    <row r="651" spans="1:65" ht="22.25" customHeight="1">
      <c r="A651" s="181">
        <f t="shared" si="227"/>
        <v>45292</v>
      </c>
      <c r="B651" s="484" t="e">
        <f>DAY(I650)</f>
        <v>#NUM!</v>
      </c>
      <c r="C651" s="489" t="s">
        <v>158</v>
      </c>
      <c r="D651" s="520" t="e">
        <f>(I651*4)+J651/3+1</f>
        <v>#NUM!</v>
      </c>
      <c r="E651" s="194" t="e">
        <f>J653+1</f>
        <v>#NUM!</v>
      </c>
      <c r="F651" s="195" t="e">
        <f t="shared" ref="F651:F658" si="228">DAY(E651)</f>
        <v>#NUM!</v>
      </c>
      <c r="G651" s="196" t="e">
        <f t="shared" ref="G651:G658" si="229">MONTH(E651)</f>
        <v>#NUM!</v>
      </c>
      <c r="H651" s="195" t="e">
        <f t="shared" ref="H651:H658" si="230">YEAR(E651)</f>
        <v>#NUM!</v>
      </c>
      <c r="I651" s="197" t="e">
        <f>H651-(H650+2000)</f>
        <v>#NUM!</v>
      </c>
      <c r="J651" s="198" t="e">
        <f>G651-G650</f>
        <v>#NUM!</v>
      </c>
      <c r="K651" s="506" t="str">
        <f>L649</f>
        <v/>
      </c>
      <c r="L651" s="469"/>
      <c r="M651" s="473" t="e">
        <f ca="1">SUM(J650-E652)&amp;" Tage"</f>
        <v>#NUM!</v>
      </c>
      <c r="N651" s="206"/>
      <c r="O651" s="201"/>
      <c r="P651" s="201"/>
      <c r="Q651" s="202"/>
      <c r="R651" s="189"/>
      <c r="S651" s="203"/>
      <c r="T651" s="203"/>
      <c r="U651" s="204"/>
      <c r="V651" s="192"/>
      <c r="W651" s="203"/>
      <c r="X651" s="203"/>
      <c r="Y651" s="204"/>
      <c r="Z651" s="192"/>
      <c r="AA651" s="203"/>
      <c r="AB651" s="203"/>
      <c r="AC651" s="204"/>
      <c r="AD651" s="192"/>
      <c r="AE651" s="203"/>
      <c r="AF651" s="203"/>
      <c r="AG651" s="204"/>
      <c r="AH651" s="193"/>
      <c r="AI651" s="203"/>
      <c r="AJ651" s="203"/>
      <c r="AK651" s="375"/>
      <c r="AL651" s="348"/>
      <c r="AM651" s="354"/>
      <c r="AN651" s="354"/>
      <c r="AO651" s="354"/>
      <c r="AP651" s="354"/>
      <c r="AQ651" s="350"/>
      <c r="AR651" s="769"/>
      <c r="AS651" s="769"/>
      <c r="AT651" s="769"/>
      <c r="BM651" s="335"/>
    </row>
    <row r="652" spans="1:65" ht="22.25" customHeight="1">
      <c r="A652" s="181">
        <f t="shared" si="227"/>
        <v>45292</v>
      </c>
      <c r="B652" s="485"/>
      <c r="C652" s="490"/>
      <c r="D652" s="521"/>
      <c r="E652" s="194" t="e">
        <f>DATE(YEAR(E651),MONTH(E651)+3,DAY(E651)-1)</f>
        <v>#NUM!</v>
      </c>
      <c r="F652" s="195" t="e">
        <f t="shared" si="228"/>
        <v>#NUM!</v>
      </c>
      <c r="G652" s="196" t="e">
        <f t="shared" si="229"/>
        <v>#NUM!</v>
      </c>
      <c r="H652" s="195" t="e">
        <f t="shared" si="230"/>
        <v>#NUM!</v>
      </c>
      <c r="I652" s="244">
        <v>-1</v>
      </c>
      <c r="J652" s="198" t="e">
        <f>F651-F650</f>
        <v>#NUM!</v>
      </c>
      <c r="K652" s="506" t="str">
        <f t="shared" si="208"/>
        <v>+Inflat.-P</v>
      </c>
      <c r="L652" s="511" t="e">
        <f>IF(M649="Stufe A",IF(AND(L650="Auswahl treffen",D651&gt;=0,D651&lt;=1000),J649,IF(AND(L650="Vermögend und ambulant",D651&gt;8,D651&lt;=1000),130,IF(AND(L650="Vermögend und ambulant",D651&gt;4,D651&lt;=8),158,IF(AND(L650="Vermögend und ambulant",D651&gt;2,D651&lt;=4),192,IF(AND(L650="Vermögend und ambulant",D651&gt;1,D651&lt;=2),208,IF(AND(L650="Vermögend und ambulant",D651&gt;0,D651&lt;=1),298,IF(AND(L650="Vermögend und stationär",D651&gt;8,D651&lt;=1000),78,IF(AND(L650="Vermögend und stationär",D651&gt;4,D651&lt;=8),91,IF(AND(L650="Vermögend und stationär",D651&gt;2,D651&lt;=4),140,IF(AND(L650="Vermögend und stationär",D651&gt;1,D651&lt;=2),158,IF(AND(L650="Vermögend und stationär",D651&gt;0,D651&lt;=1),200,IF(AND(L650="Mittellos und ambulant",D651&gt;8,D651&lt;=1000),105,IF(AND(L650="Mittellos und ambulant",D651&gt;4,D651&lt;=8),122,IF(AND(L650="Mittellos und ambulant",D651&gt;2,D651&lt;=4),151,IF(AND(L650="Mittellos und ambulant",D651&gt;1,D651&lt;=2),170,IF(AND(L650="Mittellos und ambulant",D651&gt;0,D651&lt;=1),208,IF(AND(L650="Mittellos und stationär",D651&gt;8,D651&lt;=1000),62,IF(AND(L650="Mittellos und stationär",D651&gt;4,D651&lt;=8),87,IF(AND(L650="Mittellos und stationär",D651&gt;2,D651&lt;=4),124,IF(AND(L650="Mittellos und stationär",D651&gt;1,D651&lt;=2),129,IF(AND(L650="Mittellos und stationär",D651&gt;0,D651&lt;=1),194,""))))))))))))))))))))),IF(M649="Stufe B",IF(AND(L650="Auswahl treffen",D651&gt;=0,D651&lt;=1000),J649,IF(AND(L650="Vermögend und ambulant",D651&gt;8,D651&lt;=1000),161,IF(AND(L650="Vermögend und ambulant",D651&gt;4,D651&lt;=8),196,IF(AND(L650="Vermögend und ambulant",D651&gt;2,D651&lt;=4),238,IF(AND(L650="Vermögend und ambulant",D651&gt;1,D651&lt;=2),258,IF(AND(L650="Vermögend und ambulant",D651&gt;0,D651&lt;=1),370,IF(AND(L650="Vermögend und stationär",D651&gt;8,D651&lt;=1000),96,IF(AND(L650="Vermögend und stationär",D651&gt;4,D651&lt;=8),113,IF(AND(L650="Vermögend und stationär",D651&gt;2,D651&lt;=4),174,IF(AND(L650="Vermögend und stationär",D651&gt;1,D651&lt;=2),196,IF(AND(L650="Vermögend und stationär",D651&gt;0,D651&lt;=1),249,IF(AND(L650="Mittellos und ambulant",D651&gt;8,D651&lt;=1000),130,IF(AND(L650="Mittellos und ambulant",D651&gt;4,D651&lt;=8),151,IF(AND(L650="Mittellos und ambulant",D651&gt;2,D651&lt;=4),188,IF(AND(L650="Mittellos und ambulant",D651&gt;1,D651&lt;=2),211,IF(AND(L650="Mittellos und ambulant",D651&gt;0,D651&lt;=1),258,IF(AND(L650="Mittellos und stationär",D651&gt;8,D651&lt;=1000),78,IF(AND(L650="Mittellos und stationär",D651&gt;4,D651&lt;=8),107,IF(AND(L650="Mittellos und stationär",D651&gt;2,D651&lt;=4),154,IF(AND(L650="Mittellos und stationär",D651&gt;1,D651&lt;=2),158,IF(AND(L650="Mittellos und stationär",D651&gt;0,D651&lt;=1),241,""))))))))))))))))))))),IF(M649="Stufe C",IF(AND(L650="Auswahl treffen",D651&gt;=0,D651&lt;=1000),J649,IF(AND(L650="Vermögend und ambulant",D651&gt;8,D651&lt;=1000),211,IF(AND(L650="Vermögend und ambulant",D651&gt;4,D651&lt;=8),257,IF(AND(L650="Vermögend und ambulant",D651&gt;2,D651&lt;=4),312,IF(AND(L650="Vermögend und ambulant",D651&gt;1,D651&lt;=2),339,IF(AND(L650="Vermögend und ambulant",D651&gt;0,D651&lt;=1),486,IF(AND(L650="Vermögend und stationär",D651&gt;8,D651&lt;=1000),127,IF(AND(L650="Vermögend und stationär",D651&gt;4,D651&lt;=8),149,IF(AND(L650="Vermögend und stationär",D651&gt;2,D651&lt;=4),229,IF(AND(L650="Vermögend und stationär",D651&gt;1,D651&lt;=2),257,IF(AND(L650="Vermögend und stationär",D651&gt;0,D651&lt;=1),327,IF(AND(L650="Mittellos und ambulant",D651&gt;8,D651&lt;=1000),171,IF(AND(L650="Mittellos und ambulant",D651&gt;4,D651&lt;=8),198,IF(AND(L650="Mittellos und ambulant",D651&gt;2,D651&lt;=4),246,IF(AND(L650="Mittellos und ambulant",D651&gt;1,D651&lt;=2),277,IF(AND(L650="Mittellos und ambulant",D651&gt;0,D651&lt;=1),339,IF(AND(L650="Mittellos und stationär",D651&gt;8,D651&lt;=1000),102,IF(AND(L650="Mittellos und stationär",D651&gt;4,D651&lt;=8),141,IF(AND(L650="Mittellos und stationär",D651&gt;2,D651&lt;=4),202,IF(AND(L650="Mittellos und stationär",D651&gt;1,D651&lt;=2),208,IF(AND(L650="Mittellos und stationär",D651&gt;0,D651&lt;=1),317,""))))))))))))))))))))),"")))*3+(J649*90)</f>
        <v>#NUM!</v>
      </c>
      <c r="M652" s="507" t="str">
        <f>CONCATENATE(K652, K651)</f>
        <v>+Inflat.-P</v>
      </c>
      <c r="N652" s="206" t="s">
        <v>118</v>
      </c>
      <c r="O652" s="207"/>
      <c r="P652" s="207"/>
      <c r="Q652" s="208"/>
      <c r="R652" s="187"/>
      <c r="S652" s="209" t="s">
        <v>118</v>
      </c>
      <c r="T652" s="201" t="s">
        <v>117</v>
      </c>
      <c r="U652" s="210" t="s">
        <v>26</v>
      </c>
      <c r="V652" s="192"/>
      <c r="W652" s="203"/>
      <c r="X652" s="203"/>
      <c r="Y652" s="210"/>
      <c r="Z652" s="192"/>
      <c r="AA652" s="203"/>
      <c r="AB652" s="203"/>
      <c r="AC652" s="210"/>
      <c r="AD652" s="192"/>
      <c r="AE652" s="203"/>
      <c r="AF652" s="203"/>
      <c r="AG652" s="210"/>
      <c r="AH652" s="193"/>
      <c r="AI652" s="203"/>
      <c r="AJ652" s="203"/>
      <c r="AK652" s="376"/>
      <c r="AL652" s="348" t="s">
        <v>148</v>
      </c>
      <c r="AM652" s="354">
        <f>IF(SUM(N650:N658)=SUM(S650:S658), 0, SUM(N650:N658)-SUM(S650:S658))</f>
        <v>0</v>
      </c>
      <c r="AN652" s="354"/>
      <c r="AO652" s="354"/>
      <c r="AP652" s="354"/>
      <c r="AQ652" s="350">
        <f>AM652+AN652+AO652+AP652</f>
        <v>0</v>
      </c>
      <c r="AR652" s="769"/>
      <c r="AS652" s="769"/>
      <c r="AT652" s="769"/>
      <c r="BM652" s="335"/>
    </row>
    <row r="653" spans="1:65" ht="22.25" customHeight="1">
      <c r="A653" s="181">
        <f t="shared" si="227"/>
        <v>45292</v>
      </c>
      <c r="B653" s="484" t="e">
        <f>MONTH(I650)</f>
        <v>#NUM!</v>
      </c>
      <c r="C653" s="489" t="s">
        <v>158</v>
      </c>
      <c r="D653" s="522" t="e">
        <f>D651+1</f>
        <v>#NUM!</v>
      </c>
      <c r="E653" s="211" t="e">
        <f>DATE(YEAR(E652),MONTH(E652),DAY(E652)+1)</f>
        <v>#NUM!</v>
      </c>
      <c r="F653" s="212" t="e">
        <f t="shared" si="228"/>
        <v>#NUM!</v>
      </c>
      <c r="G653" s="213" t="e">
        <f t="shared" si="229"/>
        <v>#NUM!</v>
      </c>
      <c r="H653" s="212" t="e">
        <f t="shared" si="230"/>
        <v>#NUM!</v>
      </c>
      <c r="I653" s="214" t="str">
        <f>IF(D650&lt;&gt;0,"-1T","")</f>
        <v/>
      </c>
      <c r="J653" s="215" t="e">
        <f>DATE($B655,I654,$B651)</f>
        <v>#NUM!</v>
      </c>
      <c r="K653" s="501" t="str">
        <f t="shared" si="208"/>
        <v/>
      </c>
      <c r="L653" s="470"/>
      <c r="M653" s="473" t="e">
        <f ca="1">SUM(J650-E654)&amp;" Tage"</f>
        <v>#NUM!</v>
      </c>
      <c r="N653" s="216"/>
      <c r="O653" s="217"/>
      <c r="P653" s="188"/>
      <c r="Q653" s="217"/>
      <c r="R653" s="189"/>
      <c r="S653" s="190"/>
      <c r="T653" s="190"/>
      <c r="U653" s="191"/>
      <c r="V653" s="192"/>
      <c r="W653" s="190"/>
      <c r="X653" s="190"/>
      <c r="Y653" s="191"/>
      <c r="Z653" s="192"/>
      <c r="AA653" s="190"/>
      <c r="AB653" s="190"/>
      <c r="AC653" s="191"/>
      <c r="AD653" s="192"/>
      <c r="AE653" s="190"/>
      <c r="AF653" s="190"/>
      <c r="AG653" s="191"/>
      <c r="AH653" s="193"/>
      <c r="AI653" s="190"/>
      <c r="AJ653" s="190"/>
      <c r="AK653" s="374"/>
      <c r="AL653" s="348"/>
      <c r="AM653" s="354"/>
      <c r="AN653" s="354"/>
      <c r="AO653" s="354"/>
      <c r="AP653" s="354"/>
      <c r="AQ653" s="350"/>
      <c r="AR653" s="769"/>
      <c r="AS653" s="769"/>
      <c r="AT653" s="769"/>
      <c r="BM653" s="335"/>
    </row>
    <row r="654" spans="1:65" ht="22.25" customHeight="1">
      <c r="A654" s="181">
        <f t="shared" si="227"/>
        <v>45292</v>
      </c>
      <c r="B654" s="485"/>
      <c r="C654" s="490"/>
      <c r="D654" s="521"/>
      <c r="E654" s="218" t="e">
        <f>DATE(YEAR(E653),MONTH(E653)+3,DAY(E653)-1)</f>
        <v>#NUM!</v>
      </c>
      <c r="F654" s="212" t="e">
        <f t="shared" si="228"/>
        <v>#NUM!</v>
      </c>
      <c r="G654" s="213" t="e">
        <f t="shared" si="229"/>
        <v>#NUM!</v>
      </c>
      <c r="H654" s="212" t="e">
        <f t="shared" si="230"/>
        <v>#NUM!</v>
      </c>
      <c r="I654" s="219">
        <f>MAX(I655:I658)</f>
        <v>9</v>
      </c>
      <c r="J654" s="220" t="e">
        <f>DATE(YEAR(J653)+1,MONTH(J653),DAY(J653))</f>
        <v>#NUM!</v>
      </c>
      <c r="K654" s="506" t="str">
        <f t="shared" ref="K654:K717" si="231">K652</f>
        <v>+Inflat.-P</v>
      </c>
      <c r="L654" s="508" t="e">
        <f>IF(M649="Stufe A",IF(AND(L650="Auswahl treffen",D653&gt;=0,D653&lt;=1000),J649,IF(AND(L650="Vermögend und ambulant",D653&gt;8,D653&lt;=1000),130,IF(AND(L650="Vermögend und ambulant",D653&gt;4,D653&lt;=8),158,IF(AND(L650="Vermögend und ambulant",D653&gt;2,D653&lt;=4),192,IF(AND(L650="Vermögend und ambulant",D653&gt;1,D653&lt;=2),208,IF(AND(L650="Vermögend und ambulant",D653&gt;0,D653&lt;=1),298,IF(AND(L650="Vermögend und stationär",D653&gt;8,D653&lt;=1000),78,IF(AND(L650="Vermögend und stationär",D653&gt;4,D653&lt;=8),91,IF(AND(L650="Vermögend und stationär",D653&gt;2,D653&lt;=4),140,IF(AND(L650="Vermögend und stationär",D653&gt;1,D653&lt;=2),158,IF(AND(L650="Vermögend und stationär",D653&gt;0,D653&lt;=1),200,IF(AND(L650="Mittellos und ambulant",D653&gt;8,D653&lt;=1000),105,IF(AND(L650="Mittellos und ambulant",D653&gt;4,D653&lt;=8),122,IF(AND(L650="Mittellos und ambulant",D653&gt;2,D653&lt;=4),151,IF(AND(L650="Mittellos und ambulant",D653&gt;1,D653&lt;=2),170,IF(AND(L650="Mittellos und ambulant",D653&gt;0,D653&lt;=1),208,IF(AND(L650="Mittellos und stationär",D653&gt;8,D653&lt;=1000),62,IF(AND(L650="Mittellos und stationär",D653&gt;4,D653&lt;=8),87,IF(AND(L650="Mittellos und stationär",D653&gt;2,D653&lt;=4),124,IF(AND(L650="Mittellos und stationär",D653&gt;1,D653&lt;=2),129,IF(AND(L650="Mittellos und stationär",D653&gt;0,D653&lt;=1),194,""))))))))))))))))))))),IF(M649="Stufe B",IF(AND(L650="Auswahl treffen",D653&gt;=0,D653&lt;=1000),J649,IF(AND(L650="Vermögend und ambulant",D653&gt;8,D653&lt;=1000),161,IF(AND(L650="Vermögend und ambulant",D653&gt;4,D653&lt;=8),196,IF(AND(L650="Vermögend und ambulant",D653&gt;2,D653&lt;=4),238,IF(AND(L650="Vermögend und ambulant",D653&gt;1,D653&lt;=2),258,IF(AND(L650="Vermögend und ambulant",D653&gt;0,D653&lt;=1),370,IF(AND(L650="Vermögend und stationär",D653&gt;8,D653&lt;=1000),96,IF(AND(L650="Vermögend und stationär",D653&gt;4,D653&lt;=8),113,IF(AND(L650="Vermögend und stationär",D653&gt;2,D653&lt;=4),174,IF(AND(L650="Vermögend und stationär",D653&gt;1,D653&lt;=2),196,IF(AND(L650="Vermögend und stationär",D653&gt;0,D653&lt;=1),249,IF(AND(L650="Mittellos und ambulant",D653&gt;8,D653&lt;=1000),130,IF(AND(L650="Mittellos und ambulant",D653&gt;4,D653&lt;=8),151,IF(AND(L650="Mittellos und ambulant",D653&gt;2,D653&lt;=4),188,IF(AND(L650="Mittellos und ambulant",D653&gt;1,D653&lt;=2),211,IF(AND(L650="Mittellos und ambulant",D653&gt;0,D653&lt;=1),258,IF(AND(L650="Mittellos und stationär",D653&gt;8,D653&lt;=1000),78,IF(AND(L650="Mittellos und stationär",D653&gt;4,D653&lt;=8),107,IF(AND(L650="Mittellos und stationär",D653&gt;2,D653&lt;=4),154,IF(AND(L650="Mittellos und stationär",D653&gt;1,D653&lt;=2),158,IF(AND(L650="Mittellos und stationär",D653&gt;0,D653&lt;=1),241,""))))))))))))))))))))),IF(M649="Stufe C",IF(AND(L650="Auswahl treffen",D653&gt;=0,D653&lt;=1000),J649,IF(AND(L650="Vermögend und ambulant",D653&gt;8,D653&lt;=1000),211,IF(AND(L650="Vermögend und ambulant",D653&gt;4,D653&lt;=8),257,IF(AND(L650="Vermögend und ambulant",D653&gt;2,D653&lt;=4),312,IF(AND(L650="Vermögend und ambulant",D653&gt;1,D653&lt;=2),339,IF(AND(L650="Vermögend und ambulant",D653&gt;0,D653&lt;=1),486,IF(AND(L650="Vermögend und stationär",D653&gt;8,D653&lt;=1000),127,IF(AND(L650="Vermögend und stationär",D653&gt;4,D653&lt;=8),149,IF(AND(L650="Vermögend und stationär",D653&gt;2,D653&lt;=4),229,IF(AND(L650="Vermögend und stationär",D653&gt;1,D653&lt;=2),257,IF(AND(L650="Vermögend und stationär",D653&gt;0,D653&lt;=1),327,IF(AND(L650="Mittellos und ambulant",D653&gt;8,D653&lt;=1000),171,IF(AND(L650="Mittellos und ambulant",D653&gt;4,D653&lt;=8),198,IF(AND(L650="Mittellos und ambulant",D653&gt;2,D653&lt;=4),246,IF(AND(L650="Mittellos und ambulant",D653&gt;1,D653&lt;=2),277,IF(AND(L650="Mittellos und ambulant",D653&gt;0,D653&lt;=1),339,IF(AND(L650="Mittellos und stationär",D653&gt;8,D653&lt;=1000),102,IF(AND(L650="Mittellos und stationär",D653&gt;4,D653&lt;=8),141,IF(AND(L650="Mittellos und stationär",D653&gt;2,D653&lt;=4),202,IF(AND(L650="Mittellos und stationär",D653&gt;1,D653&lt;=2),208,IF(AND(L650="Mittellos und stationär",D653&gt;0,D653&lt;=1),317,""))))))))))))))))))))),"")))*3+(J649*90)</f>
        <v>#NUM!</v>
      </c>
      <c r="M654" s="507" t="str">
        <f>CONCATENATE(K654, K653)</f>
        <v>+Inflat.-P</v>
      </c>
      <c r="N654" s="216"/>
      <c r="O654" s="188" t="s">
        <v>118</v>
      </c>
      <c r="P654" s="188"/>
      <c r="Q654" s="221"/>
      <c r="R654" s="199"/>
      <c r="S654" s="190"/>
      <c r="T654" s="190"/>
      <c r="U654" s="191"/>
      <c r="V654" s="192"/>
      <c r="W654" s="222" t="s">
        <v>118</v>
      </c>
      <c r="X654" s="222" t="s">
        <v>117</v>
      </c>
      <c r="Y654" s="191" t="s">
        <v>26</v>
      </c>
      <c r="Z654" s="192"/>
      <c r="AA654" s="190"/>
      <c r="AB654" s="190"/>
      <c r="AC654" s="191"/>
      <c r="AD654" s="192"/>
      <c r="AE654" s="190"/>
      <c r="AF654" s="190"/>
      <c r="AG654" s="191"/>
      <c r="AH654" s="193"/>
      <c r="AI654" s="190"/>
      <c r="AJ654" s="190"/>
      <c r="AK654" s="374"/>
      <c r="AL654" s="348" t="s">
        <v>149</v>
      </c>
      <c r="AM654" s="354"/>
      <c r="AN654" s="354">
        <f>IF(SUM(O650:O658)=SUM(W650:W658), 0, SUM(O650:O658)-SUM(W650:W658))</f>
        <v>0</v>
      </c>
      <c r="AO654" s="354"/>
      <c r="AP654" s="354"/>
      <c r="AQ654" s="350">
        <f>AM654+AN654+AO654+AP654</f>
        <v>0</v>
      </c>
      <c r="AR654" s="769"/>
      <c r="AS654" s="769"/>
      <c r="AT654" s="769"/>
      <c r="BM654" s="335"/>
    </row>
    <row r="655" spans="1:65" ht="22.25" customHeight="1">
      <c r="A655" s="181">
        <f t="shared" si="227"/>
        <v>45292</v>
      </c>
      <c r="B655" s="484">
        <f>YEAR($A656)-1</f>
        <v>2023</v>
      </c>
      <c r="C655" s="489" t="s">
        <v>158</v>
      </c>
      <c r="D655" s="520" t="e">
        <f>D653+1</f>
        <v>#NUM!</v>
      </c>
      <c r="E655" s="194" t="e">
        <f>DATE(YEAR(E654),MONTH(E654),DAY(E654)+1)</f>
        <v>#NUM!</v>
      </c>
      <c r="F655" s="195" t="e">
        <f t="shared" si="228"/>
        <v>#NUM!</v>
      </c>
      <c r="G655" s="196" t="e">
        <f t="shared" si="229"/>
        <v>#NUM!</v>
      </c>
      <c r="H655" s="195" t="e">
        <f t="shared" si="230"/>
        <v>#NUM!</v>
      </c>
      <c r="I655" s="197">
        <f>IF(J657&lt;13,J657,"")</f>
        <v>9</v>
      </c>
      <c r="J655" s="224">
        <f>G650</f>
        <v>0</v>
      </c>
      <c r="K655" s="501" t="str">
        <f t="shared" si="231"/>
        <v/>
      </c>
      <c r="L655" s="471"/>
      <c r="M655" s="473" t="e">
        <f ca="1">SUM(J650-E656)&amp;" Tage"</f>
        <v>#NUM!</v>
      </c>
      <c r="N655" s="200"/>
      <c r="O655" s="201"/>
      <c r="P655" s="201"/>
      <c r="Q655" s="202"/>
      <c r="R655" s="189"/>
      <c r="S655" s="203"/>
      <c r="T655" s="203"/>
      <c r="U655" s="204"/>
      <c r="V655" s="192"/>
      <c r="W655" s="203"/>
      <c r="X655" s="203"/>
      <c r="Y655" s="204"/>
      <c r="Z655" s="192"/>
      <c r="AA655" s="203"/>
      <c r="AB655" s="203"/>
      <c r="AC655" s="204"/>
      <c r="AD655" s="192"/>
      <c r="AE655" s="203"/>
      <c r="AF655" s="203"/>
      <c r="AG655" s="204"/>
      <c r="AH655" s="193"/>
      <c r="AI655" s="203"/>
      <c r="AJ655" s="203"/>
      <c r="AK655" s="375"/>
      <c r="AL655" s="348"/>
      <c r="AM655" s="354"/>
      <c r="AN655" s="354"/>
      <c r="AO655" s="354"/>
      <c r="AP655" s="354"/>
      <c r="AQ655" s="350"/>
      <c r="AR655" s="769"/>
      <c r="AS655" s="769"/>
      <c r="AT655" s="769"/>
      <c r="BM655" s="335"/>
    </row>
    <row r="656" spans="1:65" ht="22.25" customHeight="1">
      <c r="A656" s="181">
        <f t="shared" si="227"/>
        <v>45292</v>
      </c>
      <c r="B656" s="485"/>
      <c r="C656" s="490"/>
      <c r="D656" s="521"/>
      <c r="E656" s="194" t="e">
        <f>DATE(YEAR(E655),MONTH(E655)+3,DAY(E655)-1)</f>
        <v>#NUM!</v>
      </c>
      <c r="F656" s="195" t="e">
        <f t="shared" si="228"/>
        <v>#NUM!</v>
      </c>
      <c r="G656" s="196" t="e">
        <f t="shared" si="229"/>
        <v>#NUM!</v>
      </c>
      <c r="H656" s="195" t="e">
        <f t="shared" si="230"/>
        <v>#NUM!</v>
      </c>
      <c r="I656" s="244">
        <f>IF(J658&lt;13,J658,"")</f>
        <v>6</v>
      </c>
      <c r="J656" s="224">
        <f>J655+3</f>
        <v>3</v>
      </c>
      <c r="K656" s="501" t="str">
        <f t="shared" si="231"/>
        <v>+Inflat.-P</v>
      </c>
      <c r="L656" s="511" t="e">
        <f>IF(M649="Stufe A",IF(AND(L650="Auswahl treffen",D655&gt;=0,D655&lt;=1000),J649,IF(AND(L650="Vermögend und ambulant",D655&gt;8,D655&lt;=1000),130,IF(AND(L650="Vermögend und ambulant",D655&gt;4,D655&lt;=8),158,IF(AND(L650="Vermögend und ambulant",D655&gt;2,D655&lt;=4),192,IF(AND(L650="Vermögend und ambulant",D655&gt;1,D655&lt;=2),208,IF(AND(L650="Vermögend und ambulant",D655&gt;0,D655&lt;=1),298,IF(AND(L650="Vermögend und stationär",D655&gt;8,D655&lt;=1000),78,IF(AND(L650="Vermögend und stationär",D655&gt;4,D655&lt;=8),91,IF(AND(L650="Vermögend und stationär",D655&gt;2,D655&lt;=4),140,IF(AND(L650="Vermögend und stationär",D655&gt;1,D655&lt;=2),158,IF(AND(L650="Vermögend und stationär",D655&gt;0,D655&lt;=1),200,IF(AND(L650="Mittellos und ambulant",D655&gt;8,D655&lt;=1000),105,IF(AND(L650="Mittellos und ambulant",D655&gt;4,D655&lt;=8),122,IF(AND(L650="Mittellos und ambulant",D655&gt;2,D655&lt;=4),151,IF(AND(L650="Mittellos und ambulant",D655&gt;1,D655&lt;=2),170,IF(AND(L650="Mittellos und ambulant",D655&gt;0,D655&lt;=1),208,IF(AND(L650="Mittellos und stationär",D655&gt;8,D655&lt;=1000),62,IF(AND(L650="Mittellos und stationär",D655&gt;4,D655&lt;=8),87,IF(AND(L650="Mittellos und stationär",D655&gt;2,D655&lt;=4),124,IF(AND(L650="Mittellos und stationär",D655&gt;1,D655&lt;=2),129,IF(AND(L650="Mittellos und stationär",D655&gt;0,D655&lt;=1),194,""))))))))))))))))))))),IF(M649="Stufe B",IF(AND(L650="Auswahl treffen",D655&gt;=0,D655&lt;=1000),J649,IF(AND(L650="Vermögend und ambulant",D655&gt;8,D655&lt;=1000),161,IF(AND(L650="Vermögend und ambulant",D655&gt;4,D655&lt;=8),196,IF(AND(L650="Vermögend und ambulant",D655&gt;2,D655&lt;=4),238,IF(AND(L650="Vermögend und ambulant",D655&gt;1,D655&lt;=2),258,IF(AND(L650="Vermögend und ambulant",D655&gt;0,D655&lt;=1),370,IF(AND(L650="Vermögend und stationär",D655&gt;8,D655&lt;=1000),96,IF(AND(L650="Vermögend und stationär",D655&gt;4,D655&lt;=8),113,IF(AND(L650="Vermögend und stationär",D655&gt;2,D655&lt;=4),174,IF(AND(L650="Vermögend und stationär",D655&gt;1,D655&lt;=2),196,IF(AND(L650="Vermögend und stationär",D655&gt;0,D655&lt;=1),249,IF(AND(L650="Mittellos und ambulant",D655&gt;8,D655&lt;=1000),130,IF(AND(L650="Mittellos und ambulant",D655&gt;4,D655&lt;=8),151,IF(AND(L650="Mittellos und ambulant",D655&gt;2,D655&lt;=4),188,IF(AND(L650="Mittellos und ambulant",D655&gt;1,D655&lt;=2),211,IF(AND(L650="Mittellos und ambulant",D655&gt;0,D655&lt;=1),258,IF(AND(L650="Mittellos und stationär",D655&gt;8,D655&lt;=1000),78,IF(AND(L650="Mittellos und stationär",D655&gt;4,D655&lt;=8),107,IF(AND(L650="Mittellos und stationär",D655&gt;2,D655&lt;=4),154,IF(AND(L650="Mittellos und stationär",D655&gt;1,D655&lt;=2),158,IF(AND(L650="Mittellos und stationär",D655&gt;0,D655&lt;=1),241,""))))))))))))))))))))),IF(M649="Stufe C",IF(AND(L650="Auswahl treffen",D655&gt;=0,D655&lt;=1000),J649,IF(AND(L650="Vermögend und ambulant",D655&gt;8,D655&lt;=1000),211,IF(AND(L650="Vermögend und ambulant",D655&gt;4,D655&lt;=8),257,IF(AND(L650="Vermögend und ambulant",D655&gt;2,D655&lt;=4),312,IF(AND(L650="Vermögend und ambulant",D655&gt;1,D655&lt;=2),339,IF(AND(L650="Vermögend und ambulant",D655&gt;0,D655&lt;=1),486,IF(AND(L650="Vermögend und stationär",D655&gt;8,D655&lt;=1000),127,IF(AND(L650="Vermögend und stationär",D655&gt;4,D655&lt;=8),149,IF(AND(L650="Vermögend und stationär",D655&gt;2,D655&lt;=4),229,IF(AND(L650="Vermögend und stationär",D655&gt;1,D655&lt;=2),257,IF(AND(L650="Vermögend und stationär",D655&gt;0,D655&lt;=1),327,IF(AND(L650="Mittellos und ambulant",D655&gt;8,D655&lt;=1000),171,IF(AND(L650="Mittellos und ambulant",D655&gt;4,D655&lt;=8),198,IF(AND(L650="Mittellos und ambulant",D655&gt;2,D655&lt;=4),246,IF(AND(L650="Mittellos und ambulant",D655&gt;1,D655&lt;=2),277,IF(AND(L650="Mittellos und ambulant",D655&gt;0,D655&lt;=1),339,IF(AND(L650="Mittellos und stationär",D655&gt;8,D655&lt;=1000),102,IF(AND(L650="Mittellos und stationär",D655&gt;4,D655&lt;=8),141,IF(AND(L650="Mittellos und stationär",D655&gt;2,D655&lt;=4),202,IF(AND(L650="Mittellos und stationär",D655&gt;1,D655&lt;=2),208,IF(AND(L650="Mittellos und stationär",D655&gt;0,D655&lt;=1),317,""))))))))))))))))))))),"")))*3+(J649*90)</f>
        <v>#NUM!</v>
      </c>
      <c r="M656" s="507" t="str">
        <f>CONCATENATE(K656, K655)</f>
        <v>+Inflat.-P</v>
      </c>
      <c r="N656" s="206"/>
      <c r="O656" s="207"/>
      <c r="P656" s="206" t="s">
        <v>118</v>
      </c>
      <c r="Q656" s="226"/>
      <c r="R656" s="189"/>
      <c r="S656" s="203"/>
      <c r="T656" s="203"/>
      <c r="U656" s="204"/>
      <c r="V656" s="192"/>
      <c r="W656" s="203"/>
      <c r="X656" s="203"/>
      <c r="Y656" s="204"/>
      <c r="Z656" s="192"/>
      <c r="AA656" s="209" t="s">
        <v>118</v>
      </c>
      <c r="AB656" s="209" t="s">
        <v>117</v>
      </c>
      <c r="AC656" s="204" t="s">
        <v>26</v>
      </c>
      <c r="AD656" s="192"/>
      <c r="AE656" s="203"/>
      <c r="AF656" s="203"/>
      <c r="AG656" s="204"/>
      <c r="AH656" s="193"/>
      <c r="AI656" s="203"/>
      <c r="AJ656" s="203"/>
      <c r="AK656" s="375"/>
      <c r="AL656" s="348" t="s">
        <v>150</v>
      </c>
      <c r="AM656" s="354"/>
      <c r="AN656" s="354"/>
      <c r="AO656" s="354">
        <f>IF(SUM(P650:P658)=SUM(AA650:AA658), 0, SUM(P650:P658)-SUM(AA650:AA658))</f>
        <v>0</v>
      </c>
      <c r="AP656" s="354"/>
      <c r="AQ656" s="350">
        <f>AM656+AN656+AO656+AP656</f>
        <v>0</v>
      </c>
      <c r="AR656" s="769"/>
      <c r="AS656" s="769"/>
      <c r="AT656" s="769"/>
      <c r="BM656" s="335"/>
    </row>
    <row r="657" spans="1:65" ht="22.25" customHeight="1">
      <c r="A657" s="181">
        <f t="shared" si="227"/>
        <v>45292</v>
      </c>
      <c r="B657" s="486"/>
      <c r="C657" s="489" t="s">
        <v>158</v>
      </c>
      <c r="D657" s="522" t="e">
        <f>D655+1</f>
        <v>#NUM!</v>
      </c>
      <c r="E657" s="211" t="e">
        <f>DATE(YEAR(E656),MONTH(E656),DAY(E656)+1)</f>
        <v>#NUM!</v>
      </c>
      <c r="F657" s="227" t="e">
        <f t="shared" si="228"/>
        <v>#NUM!</v>
      </c>
      <c r="G657" s="228" t="e">
        <f t="shared" si="229"/>
        <v>#NUM!</v>
      </c>
      <c r="H657" s="227" t="e">
        <f t="shared" si="230"/>
        <v>#NUM!</v>
      </c>
      <c r="I657" s="231">
        <f>IF(J656&lt;13,J656,"")</f>
        <v>3</v>
      </c>
      <c r="J657" s="230">
        <f>J658+3</f>
        <v>9</v>
      </c>
      <c r="K657" s="506" t="str">
        <f t="shared" si="231"/>
        <v/>
      </c>
      <c r="L657" s="471"/>
      <c r="M657" s="473" t="e">
        <f ca="1">SUM(J650-E658)&amp;" Tage"</f>
        <v>#NUM!</v>
      </c>
      <c r="N657" s="216"/>
      <c r="O657" s="188"/>
      <c r="P657" s="188"/>
      <c r="Q657" s="217"/>
      <c r="R657" s="189"/>
      <c r="S657" s="190"/>
      <c r="T657" s="190"/>
      <c r="U657" s="191"/>
      <c r="V657" s="192"/>
      <c r="W657" s="190"/>
      <c r="X657" s="190"/>
      <c r="Y657" s="191"/>
      <c r="Z657" s="192"/>
      <c r="AA657" s="190"/>
      <c r="AB657" s="190"/>
      <c r="AC657" s="191"/>
      <c r="AD657" s="192"/>
      <c r="AE657" s="190"/>
      <c r="AF657" s="190"/>
      <c r="AG657" s="191"/>
      <c r="AH657" s="193"/>
      <c r="AI657" s="190"/>
      <c r="AJ657" s="190"/>
      <c r="AK657" s="374"/>
      <c r="AL657" s="348"/>
      <c r="AM657" s="354"/>
      <c r="AN657" s="354"/>
      <c r="AO657" s="354"/>
      <c r="AP657" s="354"/>
      <c r="AQ657" s="350"/>
      <c r="AR657" s="769"/>
      <c r="AS657" s="769"/>
      <c r="AT657" s="769"/>
      <c r="BM657" s="335"/>
    </row>
    <row r="658" spans="1:65" ht="22.25" customHeight="1">
      <c r="A658" s="181">
        <f t="shared" si="227"/>
        <v>45292</v>
      </c>
      <c r="B658" s="485"/>
      <c r="C658" s="490"/>
      <c r="D658" s="521"/>
      <c r="E658" s="218" t="e">
        <f>DATE(YEAR(E657),MONTH(E657)+3,DAY(E657)-1)</f>
        <v>#NUM!</v>
      </c>
      <c r="F658" s="227" t="e">
        <f t="shared" si="228"/>
        <v>#NUM!</v>
      </c>
      <c r="G658" s="228" t="e">
        <f t="shared" si="229"/>
        <v>#NUM!</v>
      </c>
      <c r="H658" s="227" t="e">
        <f t="shared" si="230"/>
        <v>#NUM!</v>
      </c>
      <c r="I658" s="231">
        <f>IF(J655&lt;13,J655,"")</f>
        <v>0</v>
      </c>
      <c r="J658" s="230">
        <f>J656+3</f>
        <v>6</v>
      </c>
      <c r="K658" s="501" t="str">
        <f t="shared" si="231"/>
        <v>+Inflat.-P</v>
      </c>
      <c r="L658" s="508" t="e">
        <f>IF(M649="Stufe A",IF(AND(L650="Auswahl treffen",D657&gt;=0,D657&lt;=1000),J649,IF(AND(L650="Vermögend und ambulant",D657&gt;8,D657&lt;=1000),130,IF(AND(L650="Vermögend und ambulant",D657&gt;4,D657&lt;=8),158,IF(AND(L650="Vermögend und ambulant",D657&gt;2,D657&lt;=4),192,IF(AND(L650="Vermögend und ambulant",D657&gt;1,D657&lt;=2),208,IF(AND(L650="Vermögend und ambulant",D657&gt;0,D657&lt;=1),298,IF(AND(L650="Vermögend und stationär",D657&gt;8,D657&lt;=1000),78,IF(AND(L650="Vermögend und stationär",D657&gt;4,D657&lt;=8),91,IF(AND(L650="Vermögend und stationär",D657&gt;2,D657&lt;=4),140,IF(AND(L650="Vermögend und stationär",D657&gt;1,D657&lt;=2),158,IF(AND(L650="Vermögend und stationär",D657&gt;0,D657&lt;=1),200,IF(AND(L650="Mittellos und ambulant",D657&gt;8,D657&lt;=1000),105,IF(AND(L650="Mittellos und ambulant",D657&gt;4,D657&lt;=8),122,IF(AND(L650="Mittellos und ambulant",D657&gt;2,D657&lt;=4),151,IF(AND(L650="Mittellos und ambulant",D657&gt;1,D657&lt;=2),170,IF(AND(L650="Mittellos und ambulant",D657&gt;0,D657&lt;=1),208,IF(AND(L650="Mittellos und stationär",D657&gt;8,D657&lt;=1000),62,IF(AND(L650="Mittellos und stationär",D657&gt;4,D657&lt;=8),87,IF(AND(L650="Mittellos und stationär",D657&gt;2,D657&lt;=4),124,IF(AND(L650="Mittellos und stationär",D657&gt;1,D657&lt;=2),129,IF(AND(L650="Mittellos und stationär",D657&gt;0,D657&lt;=1),194,""))))))))))))))))))))),IF(M649="Stufe B",IF(AND(L650="Auswahl treffen",D657&gt;=0,D657&lt;=1000),J649,IF(AND(L650="Vermögend und ambulant",D657&gt;8,D657&lt;=1000),161,IF(AND(L650="Vermögend und ambulant",D657&gt;4,D657&lt;=8),196,IF(AND(L650="Vermögend und ambulant",D657&gt;2,D657&lt;=4),238,IF(AND(L650="Vermögend und ambulant",D657&gt;1,D657&lt;=2),258,IF(AND(L650="Vermögend und ambulant",D657&gt;0,D657&lt;=1),370,IF(AND(L650="Vermögend und stationär",D657&gt;8,D657&lt;=1000),96,IF(AND(L650="Vermögend und stationär",D657&gt;4,D657&lt;=8),113,IF(AND(L650="Vermögend und stationär",D657&gt;2,D657&lt;=4),174,IF(AND(L650="Vermögend und stationär",D657&gt;1,D657&lt;=2),196,IF(AND(L650="Vermögend und stationär",D657&gt;0,D657&lt;=1),249,IF(AND(L650="Mittellos und ambulant",D657&gt;8,D657&lt;=1000),130,IF(AND(L650="Mittellos und ambulant",D657&gt;4,D657&lt;=8),151,IF(AND(L650="Mittellos und ambulant",D657&gt;2,D657&lt;=4),188,IF(AND(L650="Mittellos und ambulant",D657&gt;1,D657&lt;=2),211,IF(AND(L650="Mittellos und ambulant",D657&gt;0,D657&lt;=1),258,IF(AND(L650="Mittellos und stationär",D657&gt;8,D657&lt;=1000),78,IF(AND(L650="Mittellos und stationär",D657&gt;4,D657&lt;=8),107,IF(AND(L650="Mittellos und stationär",D657&gt;2,D657&lt;=4),154,IF(AND(L650="Mittellos und stationär",D657&gt;1,D657&lt;=2),158,IF(AND(L650="Mittellos und stationär",D657&gt;0,D657&lt;=1),241,""))))))))))))))))))))),IF(M649="Stufe C",IF(AND(L650="Auswahl treffen",D657&gt;=0,D657&lt;=1000),J649,IF(AND(L650="Vermögend und ambulant",D657&gt;8,D657&lt;=1000),211,IF(AND(L650="Vermögend und ambulant",D657&gt;4,D657&lt;=8),257,IF(AND(L650="Vermögend und ambulant",D657&gt;2,D657&lt;=4),312,IF(AND(L650="Vermögend und ambulant",D657&gt;1,D657&lt;=2),339,IF(AND(L650="Vermögend und ambulant",D657&gt;0,D657&lt;=1),486,IF(AND(L650="Vermögend und stationär",D657&gt;8,D657&lt;=1000),127,IF(AND(L650="Vermögend und stationär",D657&gt;4,D657&lt;=8),149,IF(AND(L650="Vermögend und stationär",D657&gt;2,D657&lt;=4),229,IF(AND(L650="Vermögend und stationär",D657&gt;1,D657&lt;=2),257,IF(AND(L650="Vermögend und stationär",D657&gt;0,D657&lt;=1),327,IF(AND(L650="Mittellos und ambulant",D657&gt;8,D657&lt;=1000),171,IF(AND(L650="Mittellos und ambulant",D657&gt;4,D657&lt;=8),198,IF(AND(L650="Mittellos und ambulant",D657&gt;2,D657&lt;=4),246,IF(AND(L650="Mittellos und ambulant",D657&gt;1,D657&lt;=2),277,IF(AND(L650="Mittellos und ambulant",D657&gt;0,D657&lt;=1),339,IF(AND(L650="Mittellos und stationär",D657&gt;8,D657&lt;=1000),102,IF(AND(L650="Mittellos und stationär",D657&gt;4,D657&lt;=8),141,IF(AND(L650="Mittellos und stationär",D657&gt;2,D657&lt;=4),202,IF(AND(L650="Mittellos und stationär",D657&gt;1,D657&lt;=2),208,IF(AND(L650="Mittellos und stationär",D657&gt;0,D657&lt;=1),317,""))))))))))))))))))))),"")))*3+(J649*90)</f>
        <v>#NUM!</v>
      </c>
      <c r="M658" s="507" t="str">
        <f>CONCATENATE(K658, K657)</f>
        <v>+Inflat.-P</v>
      </c>
      <c r="N658" s="216"/>
      <c r="O658" s="188"/>
      <c r="P658" s="188"/>
      <c r="Q658" s="217" t="s">
        <v>118</v>
      </c>
      <c r="R658" s="189"/>
      <c r="S658" s="190"/>
      <c r="T658" s="190"/>
      <c r="U658" s="191"/>
      <c r="V658" s="192"/>
      <c r="W658" s="190"/>
      <c r="X658" s="190"/>
      <c r="Y658" s="191"/>
      <c r="Z658" s="192"/>
      <c r="AA658" s="190"/>
      <c r="AB658" s="190"/>
      <c r="AC658" s="191"/>
      <c r="AD658" s="192"/>
      <c r="AE658" s="190" t="s">
        <v>118</v>
      </c>
      <c r="AF658" s="190" t="s">
        <v>117</v>
      </c>
      <c r="AG658" s="191" t="s">
        <v>26</v>
      </c>
      <c r="AH658" s="193"/>
      <c r="AI658" s="190" t="s">
        <v>118</v>
      </c>
      <c r="AJ658" s="190" t="s">
        <v>117</v>
      </c>
      <c r="AK658" s="374" t="s">
        <v>26</v>
      </c>
      <c r="AL658" s="348" t="s">
        <v>151</v>
      </c>
      <c r="AM658" s="354"/>
      <c r="AN658" s="354"/>
      <c r="AO658" s="354"/>
      <c r="AP658" s="354">
        <f>IF(SUM(Q650:Q658)=SUM(AE650:AE658,AI650:AI658), 0, SUM(Q650:Q658)-SUM(AE650:AE658,AI650:AI658))</f>
        <v>0</v>
      </c>
      <c r="AQ658" s="350">
        <f>AM658+AN658+AO658+AP658</f>
        <v>0</v>
      </c>
      <c r="AR658" s="769"/>
      <c r="AS658" s="769"/>
      <c r="AT658" s="769"/>
      <c r="BM658" s="335"/>
    </row>
    <row r="659" spans="1:65" ht="22" customHeight="1">
      <c r="A659" s="181">
        <f t="shared" si="227"/>
        <v>45292</v>
      </c>
      <c r="B659" s="232" t="s">
        <v>74</v>
      </c>
      <c r="C659" s="233" t="s">
        <v>75</v>
      </c>
      <c r="D659" s="234" t="s">
        <v>76</v>
      </c>
      <c r="E659" s="235" t="s">
        <v>11</v>
      </c>
      <c r="F659" s="235" t="s">
        <v>4</v>
      </c>
      <c r="G659" s="235" t="s">
        <v>5</v>
      </c>
      <c r="H659" s="235" t="s">
        <v>6</v>
      </c>
      <c r="I659" s="236" t="s">
        <v>77</v>
      </c>
      <c r="J659" s="306"/>
      <c r="K659" s="506" t="str">
        <f t="shared" si="231"/>
        <v/>
      </c>
      <c r="L659" s="306" t="str">
        <f>IFERROR(VLOOKUP(B660,'Aktuelle Einnahmen'!A2:J104,10,0),"")</f>
        <v/>
      </c>
      <c r="M659" s="510" t="str">
        <f>M649</f>
        <v>Stufe C</v>
      </c>
      <c r="N659" s="237"/>
      <c r="O659" s="238"/>
      <c r="P659" s="238"/>
      <c r="Q659" s="239"/>
      <c r="R659" s="240"/>
      <c r="S659" s="241"/>
      <c r="T659" s="241"/>
      <c r="U659" s="242"/>
      <c r="V659" s="243"/>
      <c r="W659" s="241"/>
      <c r="X659" s="241"/>
      <c r="Y659" s="242"/>
      <c r="Z659" s="243"/>
      <c r="AA659" s="241"/>
      <c r="AB659" s="241"/>
      <c r="AC659" s="242"/>
      <c r="AD659" s="243"/>
      <c r="AE659" s="241"/>
      <c r="AF659" s="241"/>
      <c r="AG659" s="242"/>
      <c r="AH659" s="240"/>
      <c r="AI659" s="241"/>
      <c r="AJ659" s="241"/>
      <c r="AK659" s="377"/>
      <c r="AL659" s="347"/>
      <c r="AM659" s="353"/>
      <c r="AN659" s="353"/>
      <c r="AO659" s="353"/>
      <c r="AP659" s="353"/>
      <c r="AQ659" s="349"/>
      <c r="AR659" s="768"/>
      <c r="AS659" s="768"/>
      <c r="AT659" s="768"/>
      <c r="BM659" s="335"/>
    </row>
    <row r="660" spans="1:65" ht="23" customHeight="1">
      <c r="A660" s="181">
        <f t="shared" si="227"/>
        <v>45292</v>
      </c>
      <c r="B660" s="182">
        <v>66</v>
      </c>
      <c r="C660" s="245">
        <f>IFERROR(VLOOKUP($B660,'Aktuelle Einnahmen'!A2:G104,3,0),"")</f>
        <v>0</v>
      </c>
      <c r="D660" s="246">
        <f>IFERROR(VLOOKUP($B660,'Aktuelle Einnahmen'!A2:G104,2,0),"")</f>
        <v>0</v>
      </c>
      <c r="E660" s="247">
        <f>IFERROR(VLOOKUP($B660,'Aktuelle Einnahmen'!A2:G104,4,0),"")</f>
        <v>0</v>
      </c>
      <c r="F660" s="94">
        <f>IFERROR(VLOOKUP($B660,'Aktuelle Einnahmen'!A2:G104,5,0),"")</f>
        <v>0</v>
      </c>
      <c r="G660" s="94">
        <f>IFERROR(VLOOKUP($B660,'Aktuelle Einnahmen'!A2:G104,6,0),"")</f>
        <v>0</v>
      </c>
      <c r="H660" s="94">
        <f>IFERROR(VLOOKUP($B660,'Aktuelle Einnahmen'!A2:G104,7,0),"")</f>
        <v>0</v>
      </c>
      <c r="I660" s="186" t="e">
        <f>DATE(H660,G660,F660)</f>
        <v>#NUM!</v>
      </c>
      <c r="J660" s="472">
        <f ca="1">J650</f>
        <v>45475</v>
      </c>
      <c r="K660" s="501" t="str">
        <f t="shared" si="231"/>
        <v>+Inflat.-P</v>
      </c>
      <c r="L660" s="1262" t="str">
        <f>IFERROR(VLOOKUP(B660,'Aktuelle Einnahmen'!A22:I124,9,0),"")</f>
        <v>Auswahl treffen</v>
      </c>
      <c r="M660" s="1263"/>
      <c r="N660" s="261"/>
      <c r="O660" s="261"/>
      <c r="P660" s="261"/>
      <c r="Q660" s="261"/>
      <c r="R660" s="189"/>
      <c r="S660" s="190"/>
      <c r="T660" s="190"/>
      <c r="U660" s="191"/>
      <c r="V660" s="192"/>
      <c r="W660" s="190"/>
      <c r="X660" s="190"/>
      <c r="Y660" s="191"/>
      <c r="Z660" s="192"/>
      <c r="AA660" s="190"/>
      <c r="AB660" s="190"/>
      <c r="AC660" s="191"/>
      <c r="AD660" s="192"/>
      <c r="AE660" s="190"/>
      <c r="AF660" s="190"/>
      <c r="AG660" s="191"/>
      <c r="AH660" s="193"/>
      <c r="AI660" s="190"/>
      <c r="AJ660" s="190"/>
      <c r="AK660" s="374"/>
      <c r="AL660" s="348"/>
      <c r="AM660" s="354"/>
      <c r="AN660" s="354"/>
      <c r="AO660" s="354"/>
      <c r="AP660" s="354"/>
      <c r="AQ660" s="350"/>
      <c r="AR660" s="769"/>
      <c r="AS660" s="769"/>
      <c r="AT660" s="769"/>
      <c r="BM660" s="335"/>
    </row>
    <row r="661" spans="1:65" ht="22.25" customHeight="1">
      <c r="A661" s="181">
        <f t="shared" si="227"/>
        <v>45292</v>
      </c>
      <c r="B661" s="484" t="e">
        <f>DAY(I660)</f>
        <v>#NUM!</v>
      </c>
      <c r="C661" s="489" t="s">
        <v>158</v>
      </c>
      <c r="D661" s="520" t="e">
        <f>(I661*4)+J661/3+1</f>
        <v>#NUM!</v>
      </c>
      <c r="E661" s="194" t="e">
        <f>J663+1</f>
        <v>#NUM!</v>
      </c>
      <c r="F661" s="195" t="e">
        <f t="shared" ref="F661:F668" si="232">DAY(E661)</f>
        <v>#NUM!</v>
      </c>
      <c r="G661" s="196" t="e">
        <f t="shared" ref="G661:G668" si="233">MONTH(E661)</f>
        <v>#NUM!</v>
      </c>
      <c r="H661" s="195" t="e">
        <f t="shared" ref="H661:H668" si="234">YEAR(E661)</f>
        <v>#NUM!</v>
      </c>
      <c r="I661" s="197" t="e">
        <f>H661-(H660+2000)</f>
        <v>#NUM!</v>
      </c>
      <c r="J661" s="198" t="e">
        <f>G661-G660</f>
        <v>#NUM!</v>
      </c>
      <c r="K661" s="506" t="str">
        <f>L659</f>
        <v/>
      </c>
      <c r="L661" s="469"/>
      <c r="M661" s="473" t="e">
        <f ca="1">SUM(J660-E662)&amp;" Tage"</f>
        <v>#NUM!</v>
      </c>
      <c r="N661" s="206"/>
      <c r="O661" s="201"/>
      <c r="P661" s="201"/>
      <c r="Q661" s="202"/>
      <c r="R661" s="189"/>
      <c r="S661" s="203"/>
      <c r="T661" s="203"/>
      <c r="U661" s="204"/>
      <c r="V661" s="192"/>
      <c r="W661" s="203"/>
      <c r="X661" s="203"/>
      <c r="Y661" s="204"/>
      <c r="Z661" s="192"/>
      <c r="AA661" s="203"/>
      <c r="AB661" s="203"/>
      <c r="AC661" s="204"/>
      <c r="AD661" s="192"/>
      <c r="AE661" s="203"/>
      <c r="AF661" s="203"/>
      <c r="AG661" s="204"/>
      <c r="AH661" s="193"/>
      <c r="AI661" s="203"/>
      <c r="AJ661" s="203"/>
      <c r="AK661" s="375"/>
      <c r="AL661" s="348"/>
      <c r="AM661" s="354"/>
      <c r="AN661" s="354"/>
      <c r="AO661" s="354"/>
      <c r="AP661" s="354"/>
      <c r="AQ661" s="350"/>
      <c r="AR661" s="769"/>
      <c r="AS661" s="769"/>
      <c r="AT661" s="769"/>
      <c r="BM661" s="335"/>
    </row>
    <row r="662" spans="1:65" ht="22.25" customHeight="1">
      <c r="A662" s="181">
        <f t="shared" si="227"/>
        <v>45292</v>
      </c>
      <c r="B662" s="485"/>
      <c r="C662" s="490"/>
      <c r="D662" s="521"/>
      <c r="E662" s="194" t="e">
        <f>DATE(YEAR(E661),MONTH(E661)+3,DAY(E661)-1)</f>
        <v>#NUM!</v>
      </c>
      <c r="F662" s="195" t="e">
        <f t="shared" si="232"/>
        <v>#NUM!</v>
      </c>
      <c r="G662" s="196" t="e">
        <f t="shared" si="233"/>
        <v>#NUM!</v>
      </c>
      <c r="H662" s="195" t="e">
        <f t="shared" si="234"/>
        <v>#NUM!</v>
      </c>
      <c r="I662" s="244">
        <v>-1</v>
      </c>
      <c r="J662" s="198" t="e">
        <f>F661-F660</f>
        <v>#NUM!</v>
      </c>
      <c r="K662" s="501" t="str">
        <f t="shared" si="231"/>
        <v>+Inflat.-P</v>
      </c>
      <c r="L662" s="511" t="e">
        <f>IF(M659="Stufe A",IF(AND(L660="Auswahl treffen",D661&gt;=0,D661&lt;=1000),J659,IF(AND(L660="Vermögend und ambulant",D661&gt;8,D661&lt;=1000),130,IF(AND(L660="Vermögend und ambulant",D661&gt;4,D661&lt;=8),158,IF(AND(L660="Vermögend und ambulant",D661&gt;2,D661&lt;=4),192,IF(AND(L660="Vermögend und ambulant",D661&gt;1,D661&lt;=2),208,IF(AND(L660="Vermögend und ambulant",D661&gt;0,D661&lt;=1),298,IF(AND(L660="Vermögend und stationär",D661&gt;8,D661&lt;=1000),78,IF(AND(L660="Vermögend und stationär",D661&gt;4,D661&lt;=8),91,IF(AND(L660="Vermögend und stationär",D661&gt;2,D661&lt;=4),140,IF(AND(L660="Vermögend und stationär",D661&gt;1,D661&lt;=2),158,IF(AND(L660="Vermögend und stationär",D661&gt;0,D661&lt;=1),200,IF(AND(L660="Mittellos und ambulant",D661&gt;8,D661&lt;=1000),105,IF(AND(L660="Mittellos und ambulant",D661&gt;4,D661&lt;=8),122,IF(AND(L660="Mittellos und ambulant",D661&gt;2,D661&lt;=4),151,IF(AND(L660="Mittellos und ambulant",D661&gt;1,D661&lt;=2),170,IF(AND(L660="Mittellos und ambulant",D661&gt;0,D661&lt;=1),208,IF(AND(L660="Mittellos und stationär",D661&gt;8,D661&lt;=1000),62,IF(AND(L660="Mittellos und stationär",D661&gt;4,D661&lt;=8),87,IF(AND(L660="Mittellos und stationär",D661&gt;2,D661&lt;=4),124,IF(AND(L660="Mittellos und stationär",D661&gt;1,D661&lt;=2),129,IF(AND(L660="Mittellos und stationär",D661&gt;0,D661&lt;=1),194,""))))))))))))))))))))),IF(M659="Stufe B",IF(AND(L660="Auswahl treffen",D661&gt;=0,D661&lt;=1000),J659,IF(AND(L660="Vermögend und ambulant",D661&gt;8,D661&lt;=1000),161,IF(AND(L660="Vermögend und ambulant",D661&gt;4,D661&lt;=8),196,IF(AND(L660="Vermögend und ambulant",D661&gt;2,D661&lt;=4),238,IF(AND(L660="Vermögend und ambulant",D661&gt;1,D661&lt;=2),258,IF(AND(L660="Vermögend und ambulant",D661&gt;0,D661&lt;=1),370,IF(AND(L660="Vermögend und stationär",D661&gt;8,D661&lt;=1000),96,IF(AND(L660="Vermögend und stationär",D661&gt;4,D661&lt;=8),113,IF(AND(L660="Vermögend und stationär",D661&gt;2,D661&lt;=4),174,IF(AND(L660="Vermögend und stationär",D661&gt;1,D661&lt;=2),196,IF(AND(L660="Vermögend und stationär",D661&gt;0,D661&lt;=1),249,IF(AND(L660="Mittellos und ambulant",D661&gt;8,D661&lt;=1000),130,IF(AND(L660="Mittellos und ambulant",D661&gt;4,D661&lt;=8),151,IF(AND(L660="Mittellos und ambulant",D661&gt;2,D661&lt;=4),188,IF(AND(L660="Mittellos und ambulant",D661&gt;1,D661&lt;=2),211,IF(AND(L660="Mittellos und ambulant",D661&gt;0,D661&lt;=1),258,IF(AND(L660="Mittellos und stationär",D661&gt;8,D661&lt;=1000),78,IF(AND(L660="Mittellos und stationär",D661&gt;4,D661&lt;=8),107,IF(AND(L660="Mittellos und stationär",D661&gt;2,D661&lt;=4),154,IF(AND(L660="Mittellos und stationär",D661&gt;1,D661&lt;=2),158,IF(AND(L660="Mittellos und stationär",D661&gt;0,D661&lt;=1),241,""))))))))))))))))))))),IF(M659="Stufe C",IF(AND(L660="Auswahl treffen",D661&gt;=0,D661&lt;=1000),J659,IF(AND(L660="Vermögend und ambulant",D661&gt;8,D661&lt;=1000),211,IF(AND(L660="Vermögend und ambulant",D661&gt;4,D661&lt;=8),257,IF(AND(L660="Vermögend und ambulant",D661&gt;2,D661&lt;=4),312,IF(AND(L660="Vermögend und ambulant",D661&gt;1,D661&lt;=2),339,IF(AND(L660="Vermögend und ambulant",D661&gt;0,D661&lt;=1),486,IF(AND(L660="Vermögend und stationär",D661&gt;8,D661&lt;=1000),127,IF(AND(L660="Vermögend und stationär",D661&gt;4,D661&lt;=8),149,IF(AND(L660="Vermögend und stationär",D661&gt;2,D661&lt;=4),229,IF(AND(L660="Vermögend und stationär",D661&gt;1,D661&lt;=2),257,IF(AND(L660="Vermögend und stationär",D661&gt;0,D661&lt;=1),327,IF(AND(L660="Mittellos und ambulant",D661&gt;8,D661&lt;=1000),171,IF(AND(L660="Mittellos und ambulant",D661&gt;4,D661&lt;=8),198,IF(AND(L660="Mittellos und ambulant",D661&gt;2,D661&lt;=4),246,IF(AND(L660="Mittellos und ambulant",D661&gt;1,D661&lt;=2),277,IF(AND(L660="Mittellos und ambulant",D661&gt;0,D661&lt;=1),339,IF(AND(L660="Mittellos und stationär",D661&gt;8,D661&lt;=1000),102,IF(AND(L660="Mittellos und stationär",D661&gt;4,D661&lt;=8),141,IF(AND(L660="Mittellos und stationär",D661&gt;2,D661&lt;=4),202,IF(AND(L660="Mittellos und stationär",D661&gt;1,D661&lt;=2),208,IF(AND(L660="Mittellos und stationär",D661&gt;0,D661&lt;=1),317,""))))))))))))))))))))),"")))*3+(J659*90)</f>
        <v>#NUM!</v>
      </c>
      <c r="M662" s="507" t="str">
        <f>CONCATENATE(K662, K661)</f>
        <v>+Inflat.-P</v>
      </c>
      <c r="N662" s="206" t="s">
        <v>118</v>
      </c>
      <c r="O662" s="207"/>
      <c r="P662" s="207"/>
      <c r="Q662" s="208"/>
      <c r="R662" s="187"/>
      <c r="S662" s="209" t="s">
        <v>118</v>
      </c>
      <c r="T662" s="201" t="s">
        <v>117</v>
      </c>
      <c r="U662" s="210" t="s">
        <v>26</v>
      </c>
      <c r="V662" s="192"/>
      <c r="W662" s="203"/>
      <c r="X662" s="203"/>
      <c r="Y662" s="210"/>
      <c r="Z662" s="192"/>
      <c r="AA662" s="203"/>
      <c r="AB662" s="203"/>
      <c r="AC662" s="210"/>
      <c r="AD662" s="192"/>
      <c r="AE662" s="203"/>
      <c r="AF662" s="203"/>
      <c r="AG662" s="210"/>
      <c r="AH662" s="193"/>
      <c r="AI662" s="203"/>
      <c r="AJ662" s="203"/>
      <c r="AK662" s="376"/>
      <c r="AL662" s="348" t="s">
        <v>148</v>
      </c>
      <c r="AM662" s="354">
        <f>IF(SUM(N660:N668)=SUM(S660:S668), 0, SUM(N660:N668)-SUM(S660:S668))</f>
        <v>0</v>
      </c>
      <c r="AN662" s="354"/>
      <c r="AO662" s="354"/>
      <c r="AP662" s="354"/>
      <c r="AQ662" s="350">
        <f>AM662+AN662+AO662+AP662</f>
        <v>0</v>
      </c>
      <c r="AR662" s="769"/>
      <c r="AS662" s="769"/>
      <c r="AT662" s="769"/>
      <c r="BM662" s="335"/>
    </row>
    <row r="663" spans="1:65" ht="22.25" customHeight="1">
      <c r="A663" s="181">
        <f t="shared" si="227"/>
        <v>45292</v>
      </c>
      <c r="B663" s="484" t="e">
        <f>MONTH(I660)</f>
        <v>#NUM!</v>
      </c>
      <c r="C663" s="489" t="s">
        <v>158</v>
      </c>
      <c r="D663" s="522" t="e">
        <f>D661+1</f>
        <v>#NUM!</v>
      </c>
      <c r="E663" s="211" t="e">
        <f>DATE(YEAR(E662),MONTH(E662),DAY(E662)+1)</f>
        <v>#NUM!</v>
      </c>
      <c r="F663" s="212" t="e">
        <f t="shared" si="232"/>
        <v>#NUM!</v>
      </c>
      <c r="G663" s="213" t="e">
        <f t="shared" si="233"/>
        <v>#NUM!</v>
      </c>
      <c r="H663" s="212" t="e">
        <f t="shared" si="234"/>
        <v>#NUM!</v>
      </c>
      <c r="I663" s="214" t="str">
        <f>IF(D660&lt;&gt;0,"-1T","")</f>
        <v/>
      </c>
      <c r="J663" s="215" t="e">
        <f>DATE($B665,I664,$B661)</f>
        <v>#NUM!</v>
      </c>
      <c r="K663" s="501" t="str">
        <f t="shared" si="231"/>
        <v/>
      </c>
      <c r="L663" s="470"/>
      <c r="M663" s="473" t="e">
        <f ca="1">SUM(J660-E664)&amp;" Tage"</f>
        <v>#NUM!</v>
      </c>
      <c r="N663" s="216"/>
      <c r="O663" s="217"/>
      <c r="P663" s="188"/>
      <c r="Q663" s="217"/>
      <c r="R663" s="189"/>
      <c r="S663" s="190"/>
      <c r="T663" s="190"/>
      <c r="U663" s="191"/>
      <c r="V663" s="192"/>
      <c r="W663" s="190"/>
      <c r="X663" s="190"/>
      <c r="Y663" s="191"/>
      <c r="Z663" s="192"/>
      <c r="AA663" s="190"/>
      <c r="AB663" s="190"/>
      <c r="AC663" s="191"/>
      <c r="AD663" s="192"/>
      <c r="AE663" s="190"/>
      <c r="AF663" s="190"/>
      <c r="AG663" s="191"/>
      <c r="AH663" s="193"/>
      <c r="AI663" s="190"/>
      <c r="AJ663" s="190"/>
      <c r="AK663" s="374"/>
      <c r="AL663" s="348"/>
      <c r="AM663" s="354"/>
      <c r="AN663" s="354"/>
      <c r="AO663" s="354"/>
      <c r="AP663" s="354"/>
      <c r="AQ663" s="350"/>
      <c r="AR663" s="769"/>
      <c r="AS663" s="769"/>
      <c r="AT663" s="769"/>
      <c r="BM663" s="335"/>
    </row>
    <row r="664" spans="1:65" ht="22.25" customHeight="1">
      <c r="A664" s="181">
        <f t="shared" si="227"/>
        <v>45292</v>
      </c>
      <c r="B664" s="485"/>
      <c r="C664" s="490"/>
      <c r="D664" s="521"/>
      <c r="E664" s="218" t="e">
        <f>DATE(YEAR(E663),MONTH(E663)+3,DAY(E663)-1)</f>
        <v>#NUM!</v>
      </c>
      <c r="F664" s="212" t="e">
        <f t="shared" si="232"/>
        <v>#NUM!</v>
      </c>
      <c r="G664" s="213" t="e">
        <f t="shared" si="233"/>
        <v>#NUM!</v>
      </c>
      <c r="H664" s="212" t="e">
        <f t="shared" si="234"/>
        <v>#NUM!</v>
      </c>
      <c r="I664" s="219">
        <f>MAX(I665:I668)</f>
        <v>9</v>
      </c>
      <c r="J664" s="220" t="e">
        <f>DATE(YEAR(J663)+1,MONTH(J663),DAY(J663))</f>
        <v>#NUM!</v>
      </c>
      <c r="K664" s="506" t="str">
        <f t="shared" si="231"/>
        <v>+Inflat.-P</v>
      </c>
      <c r="L664" s="508" t="e">
        <f>IF(M659="Stufe A",IF(AND(L660="Auswahl treffen",D663&gt;=0,D663&lt;=1000),J659,IF(AND(L660="Vermögend und ambulant",D663&gt;8,D663&lt;=1000),130,IF(AND(L660="Vermögend und ambulant",D663&gt;4,D663&lt;=8),158,IF(AND(L660="Vermögend und ambulant",D663&gt;2,D663&lt;=4),192,IF(AND(L660="Vermögend und ambulant",D663&gt;1,D663&lt;=2),208,IF(AND(L660="Vermögend und ambulant",D663&gt;0,D663&lt;=1),298,IF(AND(L660="Vermögend und stationär",D663&gt;8,D663&lt;=1000),78,IF(AND(L660="Vermögend und stationär",D663&gt;4,D663&lt;=8),91,IF(AND(L660="Vermögend und stationär",D663&gt;2,D663&lt;=4),140,IF(AND(L660="Vermögend und stationär",D663&gt;1,D663&lt;=2),158,IF(AND(L660="Vermögend und stationär",D663&gt;0,D663&lt;=1),200,IF(AND(L660="Mittellos und ambulant",D663&gt;8,D663&lt;=1000),105,IF(AND(L660="Mittellos und ambulant",D663&gt;4,D663&lt;=8),122,IF(AND(L660="Mittellos und ambulant",D663&gt;2,D663&lt;=4),151,IF(AND(L660="Mittellos und ambulant",D663&gt;1,D663&lt;=2),170,IF(AND(L660="Mittellos und ambulant",D663&gt;0,D663&lt;=1),208,IF(AND(L660="Mittellos und stationär",D663&gt;8,D663&lt;=1000),62,IF(AND(L660="Mittellos und stationär",D663&gt;4,D663&lt;=8),87,IF(AND(L660="Mittellos und stationär",D663&gt;2,D663&lt;=4),124,IF(AND(L660="Mittellos und stationär",D663&gt;1,D663&lt;=2),129,IF(AND(L660="Mittellos und stationär",D663&gt;0,D663&lt;=1),194,""))))))))))))))))))))),IF(M659="Stufe B",IF(AND(L660="Auswahl treffen",D663&gt;=0,D663&lt;=1000),J659,IF(AND(L660="Vermögend und ambulant",D663&gt;8,D663&lt;=1000),161,IF(AND(L660="Vermögend und ambulant",D663&gt;4,D663&lt;=8),196,IF(AND(L660="Vermögend und ambulant",D663&gt;2,D663&lt;=4),238,IF(AND(L660="Vermögend und ambulant",D663&gt;1,D663&lt;=2),258,IF(AND(L660="Vermögend und ambulant",D663&gt;0,D663&lt;=1),370,IF(AND(L660="Vermögend und stationär",D663&gt;8,D663&lt;=1000),96,IF(AND(L660="Vermögend und stationär",D663&gt;4,D663&lt;=8),113,IF(AND(L660="Vermögend und stationär",D663&gt;2,D663&lt;=4),174,IF(AND(L660="Vermögend und stationär",D663&gt;1,D663&lt;=2),196,IF(AND(L660="Vermögend und stationär",D663&gt;0,D663&lt;=1),249,IF(AND(L660="Mittellos und ambulant",D663&gt;8,D663&lt;=1000),130,IF(AND(L660="Mittellos und ambulant",D663&gt;4,D663&lt;=8),151,IF(AND(L660="Mittellos und ambulant",D663&gt;2,D663&lt;=4),188,IF(AND(L660="Mittellos und ambulant",D663&gt;1,D663&lt;=2),211,IF(AND(L660="Mittellos und ambulant",D663&gt;0,D663&lt;=1),258,IF(AND(L660="Mittellos und stationär",D663&gt;8,D663&lt;=1000),78,IF(AND(L660="Mittellos und stationär",D663&gt;4,D663&lt;=8),107,IF(AND(L660="Mittellos und stationär",D663&gt;2,D663&lt;=4),154,IF(AND(L660="Mittellos und stationär",D663&gt;1,D663&lt;=2),158,IF(AND(L660="Mittellos und stationär",D663&gt;0,D663&lt;=1),241,""))))))))))))))))))))),IF(M659="Stufe C",IF(AND(L660="Auswahl treffen",D663&gt;=0,D663&lt;=1000),J659,IF(AND(L660="Vermögend und ambulant",D663&gt;8,D663&lt;=1000),211,IF(AND(L660="Vermögend und ambulant",D663&gt;4,D663&lt;=8),257,IF(AND(L660="Vermögend und ambulant",D663&gt;2,D663&lt;=4),312,IF(AND(L660="Vermögend und ambulant",D663&gt;1,D663&lt;=2),339,IF(AND(L660="Vermögend und ambulant",D663&gt;0,D663&lt;=1),486,IF(AND(L660="Vermögend und stationär",D663&gt;8,D663&lt;=1000),127,IF(AND(L660="Vermögend und stationär",D663&gt;4,D663&lt;=8),149,IF(AND(L660="Vermögend und stationär",D663&gt;2,D663&lt;=4),229,IF(AND(L660="Vermögend und stationär",D663&gt;1,D663&lt;=2),257,IF(AND(L660="Vermögend und stationär",D663&gt;0,D663&lt;=1),327,IF(AND(L660="Mittellos und ambulant",D663&gt;8,D663&lt;=1000),171,IF(AND(L660="Mittellos und ambulant",D663&gt;4,D663&lt;=8),198,IF(AND(L660="Mittellos und ambulant",D663&gt;2,D663&lt;=4),246,IF(AND(L660="Mittellos und ambulant",D663&gt;1,D663&lt;=2),277,IF(AND(L660="Mittellos und ambulant",D663&gt;0,D663&lt;=1),339,IF(AND(L660="Mittellos und stationär",D663&gt;8,D663&lt;=1000),102,IF(AND(L660="Mittellos und stationär",D663&gt;4,D663&lt;=8),141,IF(AND(L660="Mittellos und stationär",D663&gt;2,D663&lt;=4),202,IF(AND(L660="Mittellos und stationär",D663&gt;1,D663&lt;=2),208,IF(AND(L660="Mittellos und stationär",D663&gt;0,D663&lt;=1),317,""))))))))))))))))))))),"")))*3+(J659*90)</f>
        <v>#NUM!</v>
      </c>
      <c r="M664" s="507" t="str">
        <f>CONCATENATE(K664, K663)</f>
        <v>+Inflat.-P</v>
      </c>
      <c r="N664" s="216"/>
      <c r="O664" s="188" t="s">
        <v>118</v>
      </c>
      <c r="P664" s="188"/>
      <c r="Q664" s="221"/>
      <c r="R664" s="199"/>
      <c r="S664" s="190"/>
      <c r="T664" s="190"/>
      <c r="U664" s="191"/>
      <c r="V664" s="192"/>
      <c r="W664" s="222" t="s">
        <v>118</v>
      </c>
      <c r="X664" s="222" t="s">
        <v>117</v>
      </c>
      <c r="Y664" s="191" t="s">
        <v>26</v>
      </c>
      <c r="Z664" s="192"/>
      <c r="AA664" s="190"/>
      <c r="AB664" s="190"/>
      <c r="AC664" s="191"/>
      <c r="AD664" s="192"/>
      <c r="AE664" s="190"/>
      <c r="AF664" s="190"/>
      <c r="AG664" s="191"/>
      <c r="AH664" s="193"/>
      <c r="AI664" s="190"/>
      <c r="AJ664" s="190"/>
      <c r="AK664" s="374"/>
      <c r="AL664" s="348" t="s">
        <v>149</v>
      </c>
      <c r="AM664" s="354"/>
      <c r="AN664" s="354">
        <f>IF(SUM(O660:O668)=SUM(W660:W668), 0, SUM(O660:O668)-SUM(W660:W668))</f>
        <v>0</v>
      </c>
      <c r="AO664" s="354"/>
      <c r="AP664" s="354"/>
      <c r="AQ664" s="350">
        <f>AM664+AN664+AO664+AP664</f>
        <v>0</v>
      </c>
      <c r="AR664" s="769"/>
      <c r="AS664" s="769"/>
      <c r="AT664" s="769"/>
      <c r="BM664" s="335"/>
    </row>
    <row r="665" spans="1:65" ht="22.25" customHeight="1">
      <c r="A665" s="181">
        <f t="shared" si="227"/>
        <v>45292</v>
      </c>
      <c r="B665" s="484">
        <f>YEAR($A666)-1</f>
        <v>2023</v>
      </c>
      <c r="C665" s="489" t="s">
        <v>158</v>
      </c>
      <c r="D665" s="520" t="e">
        <f>D663+1</f>
        <v>#NUM!</v>
      </c>
      <c r="E665" s="194" t="e">
        <f>DATE(YEAR(E664),MONTH(E664),DAY(E664)+1)</f>
        <v>#NUM!</v>
      </c>
      <c r="F665" s="195" t="e">
        <f t="shared" si="232"/>
        <v>#NUM!</v>
      </c>
      <c r="G665" s="196" t="e">
        <f t="shared" si="233"/>
        <v>#NUM!</v>
      </c>
      <c r="H665" s="195" t="e">
        <f t="shared" si="234"/>
        <v>#NUM!</v>
      </c>
      <c r="I665" s="197">
        <f>IF(J667&lt;13,J667,"")</f>
        <v>9</v>
      </c>
      <c r="J665" s="224">
        <f>G660</f>
        <v>0</v>
      </c>
      <c r="K665" s="501" t="str">
        <f t="shared" si="231"/>
        <v/>
      </c>
      <c r="L665" s="471"/>
      <c r="M665" s="473" t="e">
        <f ca="1">SUM(J660-E666)&amp;" Tage"</f>
        <v>#NUM!</v>
      </c>
      <c r="N665" s="200"/>
      <c r="O665" s="201"/>
      <c r="P665" s="201"/>
      <c r="Q665" s="202"/>
      <c r="R665" s="189"/>
      <c r="S665" s="203"/>
      <c r="T665" s="203"/>
      <c r="U665" s="204"/>
      <c r="V665" s="192"/>
      <c r="W665" s="203"/>
      <c r="X665" s="203"/>
      <c r="Y665" s="204"/>
      <c r="Z665" s="192"/>
      <c r="AA665" s="203"/>
      <c r="AB665" s="203"/>
      <c r="AC665" s="204"/>
      <c r="AD665" s="192"/>
      <c r="AE665" s="203"/>
      <c r="AF665" s="203"/>
      <c r="AG665" s="204"/>
      <c r="AH665" s="193"/>
      <c r="AI665" s="203"/>
      <c r="AJ665" s="203"/>
      <c r="AK665" s="375"/>
      <c r="AL665" s="348"/>
      <c r="AM665" s="354"/>
      <c r="AN665" s="354"/>
      <c r="AO665" s="354"/>
      <c r="AP665" s="354"/>
      <c r="AQ665" s="350"/>
      <c r="AR665" s="769"/>
      <c r="AS665" s="769"/>
      <c r="AT665" s="769"/>
      <c r="BM665" s="335"/>
    </row>
    <row r="666" spans="1:65" ht="22.25" customHeight="1">
      <c r="A666" s="181">
        <f t="shared" si="227"/>
        <v>45292</v>
      </c>
      <c r="B666" s="485"/>
      <c r="C666" s="490"/>
      <c r="D666" s="521"/>
      <c r="E666" s="194" t="e">
        <f>DATE(YEAR(E665),MONTH(E665)+3,DAY(E665)-1)</f>
        <v>#NUM!</v>
      </c>
      <c r="F666" s="195" t="e">
        <f t="shared" si="232"/>
        <v>#NUM!</v>
      </c>
      <c r="G666" s="196" t="e">
        <f t="shared" si="233"/>
        <v>#NUM!</v>
      </c>
      <c r="H666" s="195" t="e">
        <f t="shared" si="234"/>
        <v>#NUM!</v>
      </c>
      <c r="I666" s="244">
        <f>IF(J668&lt;13,J668,"")</f>
        <v>6</v>
      </c>
      <c r="J666" s="224">
        <f>J665+3</f>
        <v>3</v>
      </c>
      <c r="K666" s="506" t="str">
        <f t="shared" si="231"/>
        <v>+Inflat.-P</v>
      </c>
      <c r="L666" s="511" t="e">
        <f>IF(M659="Stufe A",IF(AND(L660="Auswahl treffen",D665&gt;=0,D665&lt;=1000),J659,IF(AND(L660="Vermögend und ambulant",D665&gt;8,D665&lt;=1000),130,IF(AND(L660="Vermögend und ambulant",D665&gt;4,D665&lt;=8),158,IF(AND(L660="Vermögend und ambulant",D665&gt;2,D665&lt;=4),192,IF(AND(L660="Vermögend und ambulant",D665&gt;1,D665&lt;=2),208,IF(AND(L660="Vermögend und ambulant",D665&gt;0,D665&lt;=1),298,IF(AND(L660="Vermögend und stationär",D665&gt;8,D665&lt;=1000),78,IF(AND(L660="Vermögend und stationär",D665&gt;4,D665&lt;=8),91,IF(AND(L660="Vermögend und stationär",D665&gt;2,D665&lt;=4),140,IF(AND(L660="Vermögend und stationär",D665&gt;1,D665&lt;=2),158,IF(AND(L660="Vermögend und stationär",D665&gt;0,D665&lt;=1),200,IF(AND(L660="Mittellos und ambulant",D665&gt;8,D665&lt;=1000),105,IF(AND(L660="Mittellos und ambulant",D665&gt;4,D665&lt;=8),122,IF(AND(L660="Mittellos und ambulant",D665&gt;2,D665&lt;=4),151,IF(AND(L660="Mittellos und ambulant",D665&gt;1,D665&lt;=2),170,IF(AND(L660="Mittellos und ambulant",D665&gt;0,D665&lt;=1),208,IF(AND(L660="Mittellos und stationär",D665&gt;8,D665&lt;=1000),62,IF(AND(L660="Mittellos und stationär",D665&gt;4,D665&lt;=8),87,IF(AND(L660="Mittellos und stationär",D665&gt;2,D665&lt;=4),124,IF(AND(L660="Mittellos und stationär",D665&gt;1,D665&lt;=2),129,IF(AND(L660="Mittellos und stationär",D665&gt;0,D665&lt;=1),194,""))))))))))))))))))))),IF(M659="Stufe B",IF(AND(L660="Auswahl treffen",D665&gt;=0,D665&lt;=1000),J659,IF(AND(L660="Vermögend und ambulant",D665&gt;8,D665&lt;=1000),161,IF(AND(L660="Vermögend und ambulant",D665&gt;4,D665&lt;=8),196,IF(AND(L660="Vermögend und ambulant",D665&gt;2,D665&lt;=4),238,IF(AND(L660="Vermögend und ambulant",D665&gt;1,D665&lt;=2),258,IF(AND(L660="Vermögend und ambulant",D665&gt;0,D665&lt;=1),370,IF(AND(L660="Vermögend und stationär",D665&gt;8,D665&lt;=1000),96,IF(AND(L660="Vermögend und stationär",D665&gt;4,D665&lt;=8),113,IF(AND(L660="Vermögend und stationär",D665&gt;2,D665&lt;=4),174,IF(AND(L660="Vermögend und stationär",D665&gt;1,D665&lt;=2),196,IF(AND(L660="Vermögend und stationär",D665&gt;0,D665&lt;=1),249,IF(AND(L660="Mittellos und ambulant",D665&gt;8,D665&lt;=1000),130,IF(AND(L660="Mittellos und ambulant",D665&gt;4,D665&lt;=8),151,IF(AND(L660="Mittellos und ambulant",D665&gt;2,D665&lt;=4),188,IF(AND(L660="Mittellos und ambulant",D665&gt;1,D665&lt;=2),211,IF(AND(L660="Mittellos und ambulant",D665&gt;0,D665&lt;=1),258,IF(AND(L660="Mittellos und stationär",D665&gt;8,D665&lt;=1000),78,IF(AND(L660="Mittellos und stationär",D665&gt;4,D665&lt;=8),107,IF(AND(L660="Mittellos und stationär",D665&gt;2,D665&lt;=4),154,IF(AND(L660="Mittellos und stationär",D665&gt;1,D665&lt;=2),158,IF(AND(L660="Mittellos und stationär",D665&gt;0,D665&lt;=1),241,""))))))))))))))))))))),IF(M659="Stufe C",IF(AND(L660="Auswahl treffen",D665&gt;=0,D665&lt;=1000),J659,IF(AND(L660="Vermögend und ambulant",D665&gt;8,D665&lt;=1000),211,IF(AND(L660="Vermögend und ambulant",D665&gt;4,D665&lt;=8),257,IF(AND(L660="Vermögend und ambulant",D665&gt;2,D665&lt;=4),312,IF(AND(L660="Vermögend und ambulant",D665&gt;1,D665&lt;=2),339,IF(AND(L660="Vermögend und ambulant",D665&gt;0,D665&lt;=1),486,IF(AND(L660="Vermögend und stationär",D665&gt;8,D665&lt;=1000),127,IF(AND(L660="Vermögend und stationär",D665&gt;4,D665&lt;=8),149,IF(AND(L660="Vermögend und stationär",D665&gt;2,D665&lt;=4),229,IF(AND(L660="Vermögend und stationär",D665&gt;1,D665&lt;=2),257,IF(AND(L660="Vermögend und stationär",D665&gt;0,D665&lt;=1),327,IF(AND(L660="Mittellos und ambulant",D665&gt;8,D665&lt;=1000),171,IF(AND(L660="Mittellos und ambulant",D665&gt;4,D665&lt;=8),198,IF(AND(L660="Mittellos und ambulant",D665&gt;2,D665&lt;=4),246,IF(AND(L660="Mittellos und ambulant",D665&gt;1,D665&lt;=2),277,IF(AND(L660="Mittellos und ambulant",D665&gt;0,D665&lt;=1),339,IF(AND(L660="Mittellos und stationär",D665&gt;8,D665&lt;=1000),102,IF(AND(L660="Mittellos und stationär",D665&gt;4,D665&lt;=8),141,IF(AND(L660="Mittellos und stationär",D665&gt;2,D665&lt;=4),202,IF(AND(L660="Mittellos und stationär",D665&gt;1,D665&lt;=2),208,IF(AND(L660="Mittellos und stationär",D665&gt;0,D665&lt;=1),317,""))))))))))))))))))))),"")))*3+(J659*90)</f>
        <v>#NUM!</v>
      </c>
      <c r="M666" s="507" t="str">
        <f>CONCATENATE(K666, K665)</f>
        <v>+Inflat.-P</v>
      </c>
      <c r="N666" s="206"/>
      <c r="O666" s="207"/>
      <c r="P666" s="206" t="s">
        <v>118</v>
      </c>
      <c r="Q666" s="226"/>
      <c r="R666" s="189"/>
      <c r="S666" s="203"/>
      <c r="T666" s="203"/>
      <c r="U666" s="204"/>
      <c r="V666" s="192"/>
      <c r="W666" s="203"/>
      <c r="X666" s="203"/>
      <c r="Y666" s="204"/>
      <c r="Z666" s="192"/>
      <c r="AA666" s="209" t="s">
        <v>118</v>
      </c>
      <c r="AB666" s="209" t="s">
        <v>117</v>
      </c>
      <c r="AC666" s="204" t="s">
        <v>26</v>
      </c>
      <c r="AD666" s="192"/>
      <c r="AE666" s="203"/>
      <c r="AF666" s="203"/>
      <c r="AG666" s="204"/>
      <c r="AH666" s="193"/>
      <c r="AI666" s="203"/>
      <c r="AJ666" s="203"/>
      <c r="AK666" s="375"/>
      <c r="AL666" s="348" t="s">
        <v>150</v>
      </c>
      <c r="AM666" s="354"/>
      <c r="AN666" s="354"/>
      <c r="AO666" s="354">
        <f>IF(SUM(P660:P668)=SUM(AA660:AA668), 0, SUM(P660:P668)-SUM(AA660:AA668))</f>
        <v>0</v>
      </c>
      <c r="AP666" s="354"/>
      <c r="AQ666" s="350">
        <f>AM666+AN666+AO666+AP666</f>
        <v>0</v>
      </c>
      <c r="AR666" s="769"/>
      <c r="AS666" s="769"/>
      <c r="AT666" s="769"/>
      <c r="BM666" s="335"/>
    </row>
    <row r="667" spans="1:65" ht="22.25" customHeight="1">
      <c r="A667" s="181">
        <f t="shared" si="227"/>
        <v>45292</v>
      </c>
      <c r="B667" s="486"/>
      <c r="C667" s="489" t="s">
        <v>158</v>
      </c>
      <c r="D667" s="522" t="e">
        <f>D665+1</f>
        <v>#NUM!</v>
      </c>
      <c r="E667" s="211" t="e">
        <f>DATE(YEAR(E666),MONTH(E666),DAY(E666)+1)</f>
        <v>#NUM!</v>
      </c>
      <c r="F667" s="227" t="e">
        <f t="shared" si="232"/>
        <v>#NUM!</v>
      </c>
      <c r="G667" s="228" t="e">
        <f t="shared" si="233"/>
        <v>#NUM!</v>
      </c>
      <c r="H667" s="227" t="e">
        <f t="shared" si="234"/>
        <v>#NUM!</v>
      </c>
      <c r="I667" s="231">
        <f>IF(J666&lt;13,J666,"")</f>
        <v>3</v>
      </c>
      <c r="J667" s="230">
        <f>J668+3</f>
        <v>9</v>
      </c>
      <c r="K667" s="501" t="str">
        <f t="shared" si="231"/>
        <v/>
      </c>
      <c r="L667" s="471"/>
      <c r="M667" s="473" t="e">
        <f ca="1">SUM(J660-E668)&amp;" Tage"</f>
        <v>#NUM!</v>
      </c>
      <c r="N667" s="216"/>
      <c r="O667" s="188"/>
      <c r="P667" s="188"/>
      <c r="Q667" s="217"/>
      <c r="R667" s="189"/>
      <c r="S667" s="190"/>
      <c r="T667" s="190"/>
      <c r="U667" s="191"/>
      <c r="V667" s="192"/>
      <c r="W667" s="190"/>
      <c r="X667" s="190"/>
      <c r="Y667" s="191"/>
      <c r="Z667" s="192"/>
      <c r="AA667" s="190"/>
      <c r="AB667" s="190"/>
      <c r="AC667" s="191"/>
      <c r="AD667" s="192"/>
      <c r="AE667" s="190"/>
      <c r="AF667" s="190"/>
      <c r="AG667" s="191"/>
      <c r="AH667" s="193"/>
      <c r="AI667" s="190"/>
      <c r="AJ667" s="190"/>
      <c r="AK667" s="374"/>
      <c r="AL667" s="348"/>
      <c r="AM667" s="354"/>
      <c r="AN667" s="354"/>
      <c r="AO667" s="354"/>
      <c r="AP667" s="354"/>
      <c r="AQ667" s="350"/>
      <c r="AR667" s="769"/>
      <c r="AS667" s="769"/>
      <c r="AT667" s="769"/>
      <c r="BM667" s="335"/>
    </row>
    <row r="668" spans="1:65" ht="22.25" customHeight="1">
      <c r="A668" s="181">
        <f t="shared" si="227"/>
        <v>45292</v>
      </c>
      <c r="B668" s="485"/>
      <c r="C668" s="490"/>
      <c r="D668" s="521"/>
      <c r="E668" s="218" t="e">
        <f>DATE(YEAR(E667),MONTH(E667)+3,DAY(E667)-1)</f>
        <v>#NUM!</v>
      </c>
      <c r="F668" s="227" t="e">
        <f t="shared" si="232"/>
        <v>#NUM!</v>
      </c>
      <c r="G668" s="228" t="e">
        <f t="shared" si="233"/>
        <v>#NUM!</v>
      </c>
      <c r="H668" s="227" t="e">
        <f t="shared" si="234"/>
        <v>#NUM!</v>
      </c>
      <c r="I668" s="231">
        <f>IF(J665&lt;13,J665,"")</f>
        <v>0</v>
      </c>
      <c r="J668" s="230">
        <f>J666+3</f>
        <v>6</v>
      </c>
      <c r="K668" s="506" t="str">
        <f t="shared" si="231"/>
        <v>+Inflat.-P</v>
      </c>
      <c r="L668" s="508" t="e">
        <f>IF(M659="Stufe A",IF(AND(L660="Auswahl treffen",D667&gt;=0,D667&lt;=1000),J659,IF(AND(L660="Vermögend und ambulant",D667&gt;8,D667&lt;=1000),130,IF(AND(L660="Vermögend und ambulant",D667&gt;4,D667&lt;=8),158,IF(AND(L660="Vermögend und ambulant",D667&gt;2,D667&lt;=4),192,IF(AND(L660="Vermögend und ambulant",D667&gt;1,D667&lt;=2),208,IF(AND(L660="Vermögend und ambulant",D667&gt;0,D667&lt;=1),298,IF(AND(L660="Vermögend und stationär",D667&gt;8,D667&lt;=1000),78,IF(AND(L660="Vermögend und stationär",D667&gt;4,D667&lt;=8),91,IF(AND(L660="Vermögend und stationär",D667&gt;2,D667&lt;=4),140,IF(AND(L660="Vermögend und stationär",D667&gt;1,D667&lt;=2),158,IF(AND(L660="Vermögend und stationär",D667&gt;0,D667&lt;=1),200,IF(AND(L660="Mittellos und ambulant",D667&gt;8,D667&lt;=1000),105,IF(AND(L660="Mittellos und ambulant",D667&gt;4,D667&lt;=8),122,IF(AND(L660="Mittellos und ambulant",D667&gt;2,D667&lt;=4),151,IF(AND(L660="Mittellos und ambulant",D667&gt;1,D667&lt;=2),170,IF(AND(L660="Mittellos und ambulant",D667&gt;0,D667&lt;=1),208,IF(AND(L660="Mittellos und stationär",D667&gt;8,D667&lt;=1000),62,IF(AND(L660="Mittellos und stationär",D667&gt;4,D667&lt;=8),87,IF(AND(L660="Mittellos und stationär",D667&gt;2,D667&lt;=4),124,IF(AND(L660="Mittellos und stationär",D667&gt;1,D667&lt;=2),129,IF(AND(L660="Mittellos und stationär",D667&gt;0,D667&lt;=1),194,""))))))))))))))))))))),IF(M659="Stufe B",IF(AND(L660="Auswahl treffen",D667&gt;=0,D667&lt;=1000),J659,IF(AND(L660="Vermögend und ambulant",D667&gt;8,D667&lt;=1000),161,IF(AND(L660="Vermögend und ambulant",D667&gt;4,D667&lt;=8),196,IF(AND(L660="Vermögend und ambulant",D667&gt;2,D667&lt;=4),238,IF(AND(L660="Vermögend und ambulant",D667&gt;1,D667&lt;=2),258,IF(AND(L660="Vermögend und ambulant",D667&gt;0,D667&lt;=1),370,IF(AND(L660="Vermögend und stationär",D667&gt;8,D667&lt;=1000),96,IF(AND(L660="Vermögend und stationär",D667&gt;4,D667&lt;=8),113,IF(AND(L660="Vermögend und stationär",D667&gt;2,D667&lt;=4),174,IF(AND(L660="Vermögend und stationär",D667&gt;1,D667&lt;=2),196,IF(AND(L660="Vermögend und stationär",D667&gt;0,D667&lt;=1),249,IF(AND(L660="Mittellos und ambulant",D667&gt;8,D667&lt;=1000),130,IF(AND(L660="Mittellos und ambulant",D667&gt;4,D667&lt;=8),151,IF(AND(L660="Mittellos und ambulant",D667&gt;2,D667&lt;=4),188,IF(AND(L660="Mittellos und ambulant",D667&gt;1,D667&lt;=2),211,IF(AND(L660="Mittellos und ambulant",D667&gt;0,D667&lt;=1),258,IF(AND(L660="Mittellos und stationär",D667&gt;8,D667&lt;=1000),78,IF(AND(L660="Mittellos und stationär",D667&gt;4,D667&lt;=8),107,IF(AND(L660="Mittellos und stationär",D667&gt;2,D667&lt;=4),154,IF(AND(L660="Mittellos und stationär",D667&gt;1,D667&lt;=2),158,IF(AND(L660="Mittellos und stationär",D667&gt;0,D667&lt;=1),241,""))))))))))))))))))))),IF(M659="Stufe C",IF(AND(L660="Auswahl treffen",D667&gt;=0,D667&lt;=1000),J659,IF(AND(L660="Vermögend und ambulant",D667&gt;8,D667&lt;=1000),211,IF(AND(L660="Vermögend und ambulant",D667&gt;4,D667&lt;=8),257,IF(AND(L660="Vermögend und ambulant",D667&gt;2,D667&lt;=4),312,IF(AND(L660="Vermögend und ambulant",D667&gt;1,D667&lt;=2),339,IF(AND(L660="Vermögend und ambulant",D667&gt;0,D667&lt;=1),486,IF(AND(L660="Vermögend und stationär",D667&gt;8,D667&lt;=1000),127,IF(AND(L660="Vermögend und stationär",D667&gt;4,D667&lt;=8),149,IF(AND(L660="Vermögend und stationär",D667&gt;2,D667&lt;=4),229,IF(AND(L660="Vermögend und stationär",D667&gt;1,D667&lt;=2),257,IF(AND(L660="Vermögend und stationär",D667&gt;0,D667&lt;=1),327,IF(AND(L660="Mittellos und ambulant",D667&gt;8,D667&lt;=1000),171,IF(AND(L660="Mittellos und ambulant",D667&gt;4,D667&lt;=8),198,IF(AND(L660="Mittellos und ambulant",D667&gt;2,D667&lt;=4),246,IF(AND(L660="Mittellos und ambulant",D667&gt;1,D667&lt;=2),277,IF(AND(L660="Mittellos und ambulant",D667&gt;0,D667&lt;=1),339,IF(AND(L660="Mittellos und stationär",D667&gt;8,D667&lt;=1000),102,IF(AND(L660="Mittellos und stationär",D667&gt;4,D667&lt;=8),141,IF(AND(L660="Mittellos und stationär",D667&gt;2,D667&lt;=4),202,IF(AND(L660="Mittellos und stationär",D667&gt;1,D667&lt;=2),208,IF(AND(L660="Mittellos und stationär",D667&gt;0,D667&lt;=1),317,""))))))))))))))))))))),"")))*3+(J659*90)</f>
        <v>#NUM!</v>
      </c>
      <c r="M668" s="507" t="str">
        <f>CONCATENATE(K668, K667)</f>
        <v>+Inflat.-P</v>
      </c>
      <c r="N668" s="216"/>
      <c r="O668" s="188"/>
      <c r="P668" s="188"/>
      <c r="Q668" s="217" t="s">
        <v>118</v>
      </c>
      <c r="R668" s="189"/>
      <c r="S668" s="190"/>
      <c r="T668" s="190"/>
      <c r="U668" s="191"/>
      <c r="V668" s="192"/>
      <c r="W668" s="190"/>
      <c r="X668" s="190"/>
      <c r="Y668" s="191"/>
      <c r="Z668" s="192"/>
      <c r="AA668" s="190"/>
      <c r="AB668" s="190"/>
      <c r="AC668" s="191"/>
      <c r="AD668" s="192"/>
      <c r="AE668" s="190" t="s">
        <v>118</v>
      </c>
      <c r="AF668" s="190" t="s">
        <v>117</v>
      </c>
      <c r="AG668" s="191" t="s">
        <v>26</v>
      </c>
      <c r="AH668" s="193"/>
      <c r="AI668" s="190" t="s">
        <v>118</v>
      </c>
      <c r="AJ668" s="190" t="s">
        <v>117</v>
      </c>
      <c r="AK668" s="374" t="s">
        <v>26</v>
      </c>
      <c r="AL668" s="348" t="s">
        <v>151</v>
      </c>
      <c r="AM668" s="354"/>
      <c r="AN668" s="354"/>
      <c r="AO668" s="354"/>
      <c r="AP668" s="354">
        <f>IF(SUM(Q660:Q668)=SUM(AE660:AE668,AI660:AI668), 0, SUM(Q660:Q668)-SUM(AE660:AE668,AI660:AI668))</f>
        <v>0</v>
      </c>
      <c r="AQ668" s="350">
        <f>AM668+AN668+AO668+AP668</f>
        <v>0</v>
      </c>
      <c r="AR668" s="769"/>
      <c r="AS668" s="769"/>
      <c r="AT668" s="769"/>
      <c r="BM668" s="335"/>
    </row>
    <row r="669" spans="1:65" ht="22" customHeight="1">
      <c r="A669" s="181">
        <f t="shared" si="227"/>
        <v>45292</v>
      </c>
      <c r="B669" s="232" t="s">
        <v>74</v>
      </c>
      <c r="C669" s="233" t="s">
        <v>75</v>
      </c>
      <c r="D669" s="234" t="s">
        <v>76</v>
      </c>
      <c r="E669" s="235" t="s">
        <v>11</v>
      </c>
      <c r="F669" s="235" t="s">
        <v>4</v>
      </c>
      <c r="G669" s="235" t="s">
        <v>5</v>
      </c>
      <c r="H669" s="235" t="s">
        <v>6</v>
      </c>
      <c r="I669" s="236" t="s">
        <v>77</v>
      </c>
      <c r="J669" s="306"/>
      <c r="K669" s="501" t="str">
        <f t="shared" si="231"/>
        <v/>
      </c>
      <c r="L669" s="306" t="str">
        <f>IFERROR(VLOOKUP(B670,'Aktuelle Einnahmen'!A2:J104,10,0),"")</f>
        <v/>
      </c>
      <c r="M669" s="510" t="str">
        <f>M659</f>
        <v>Stufe C</v>
      </c>
      <c r="N669" s="237"/>
      <c r="O669" s="238"/>
      <c r="P669" s="238"/>
      <c r="Q669" s="239"/>
      <c r="R669" s="240"/>
      <c r="S669" s="241"/>
      <c r="T669" s="241"/>
      <c r="U669" s="242"/>
      <c r="V669" s="243"/>
      <c r="W669" s="241"/>
      <c r="X669" s="241"/>
      <c r="Y669" s="242"/>
      <c r="Z669" s="243"/>
      <c r="AA669" s="241"/>
      <c r="AB669" s="241"/>
      <c r="AC669" s="242"/>
      <c r="AD669" s="243"/>
      <c r="AE669" s="241"/>
      <c r="AF669" s="241"/>
      <c r="AG669" s="242"/>
      <c r="AH669" s="240"/>
      <c r="AI669" s="241"/>
      <c r="AJ669" s="241"/>
      <c r="AK669" s="377"/>
      <c r="AL669" s="347"/>
      <c r="AM669" s="353"/>
      <c r="AN669" s="353"/>
      <c r="AO669" s="353"/>
      <c r="AP669" s="353"/>
      <c r="AQ669" s="349"/>
      <c r="AR669" s="768"/>
      <c r="AS669" s="768"/>
      <c r="AT669" s="768"/>
      <c r="BM669" s="335"/>
    </row>
    <row r="670" spans="1:65" ht="23" customHeight="1">
      <c r="A670" s="181">
        <f t="shared" si="227"/>
        <v>45292</v>
      </c>
      <c r="B670" s="182">
        <v>67</v>
      </c>
      <c r="C670" s="245">
        <f>IFERROR(VLOOKUP($B670,'Aktuelle Einnahmen'!A2:G104,3,0),"")</f>
        <v>0</v>
      </c>
      <c r="D670" s="246">
        <f>IFERROR(VLOOKUP($B670,'Aktuelle Einnahmen'!A2:G104,2,0),"")</f>
        <v>0</v>
      </c>
      <c r="E670" s="247">
        <f>IFERROR(VLOOKUP($B670,'Aktuelle Einnahmen'!A2:G104,4,0),"")</f>
        <v>0</v>
      </c>
      <c r="F670" s="94">
        <f>IFERROR(VLOOKUP($B670,'Aktuelle Einnahmen'!A2:G104,5,0),"")</f>
        <v>0</v>
      </c>
      <c r="G670" s="94">
        <f>IFERROR(VLOOKUP($B670,'Aktuelle Einnahmen'!A2:G104,6,0),"")</f>
        <v>0</v>
      </c>
      <c r="H670" s="94">
        <f>IFERROR(VLOOKUP($B670,'Aktuelle Einnahmen'!A2:G104,7,0),"")</f>
        <v>0</v>
      </c>
      <c r="I670" s="186" t="e">
        <f>DATE(H670,G670,F670)</f>
        <v>#NUM!</v>
      </c>
      <c r="J670" s="472">
        <f ca="1">J660</f>
        <v>45475</v>
      </c>
      <c r="K670" s="501" t="str">
        <f t="shared" si="231"/>
        <v>+Inflat.-P</v>
      </c>
      <c r="L670" s="1262" t="str">
        <f>IFERROR(VLOOKUP(B670,'Aktuelle Einnahmen'!A22:I124,9,0),"")</f>
        <v>Auswahl treffen</v>
      </c>
      <c r="M670" s="1263"/>
      <c r="N670" s="261"/>
      <c r="O670" s="261"/>
      <c r="P670" s="261"/>
      <c r="Q670" s="261"/>
      <c r="R670" s="189"/>
      <c r="S670" s="190"/>
      <c r="T670" s="190"/>
      <c r="U670" s="191"/>
      <c r="V670" s="192"/>
      <c r="W670" s="190"/>
      <c r="X670" s="190"/>
      <c r="Y670" s="191"/>
      <c r="Z670" s="192"/>
      <c r="AA670" s="190"/>
      <c r="AB670" s="190"/>
      <c r="AC670" s="191"/>
      <c r="AD670" s="192"/>
      <c r="AE670" s="190"/>
      <c r="AF670" s="190"/>
      <c r="AG670" s="191"/>
      <c r="AH670" s="193"/>
      <c r="AI670" s="190"/>
      <c r="AJ670" s="190"/>
      <c r="AK670" s="374"/>
      <c r="AL670" s="348"/>
      <c r="AM670" s="354"/>
      <c r="AN670" s="354"/>
      <c r="AO670" s="354"/>
      <c r="AP670" s="354"/>
      <c r="AQ670" s="350"/>
      <c r="AR670" s="769"/>
      <c r="AS670" s="769"/>
      <c r="AT670" s="769"/>
      <c r="BM670" s="335"/>
    </row>
    <row r="671" spans="1:65" ht="22.25" customHeight="1">
      <c r="A671" s="181">
        <f t="shared" si="227"/>
        <v>45292</v>
      </c>
      <c r="B671" s="484" t="e">
        <f>DAY(I670)</f>
        <v>#NUM!</v>
      </c>
      <c r="C671" s="489" t="s">
        <v>158</v>
      </c>
      <c r="D671" s="520" t="e">
        <f>(I671*4)+J671/3+1</f>
        <v>#NUM!</v>
      </c>
      <c r="E671" s="194" t="e">
        <f>J673+1</f>
        <v>#NUM!</v>
      </c>
      <c r="F671" s="195" t="e">
        <f t="shared" ref="F671:F678" si="235">DAY(E671)</f>
        <v>#NUM!</v>
      </c>
      <c r="G671" s="196" t="e">
        <f t="shared" ref="G671:G678" si="236">MONTH(E671)</f>
        <v>#NUM!</v>
      </c>
      <c r="H671" s="195" t="e">
        <f t="shared" ref="H671:H678" si="237">YEAR(E671)</f>
        <v>#NUM!</v>
      </c>
      <c r="I671" s="197" t="e">
        <f>H671-(H670+2000)</f>
        <v>#NUM!</v>
      </c>
      <c r="J671" s="198" t="e">
        <f>G671-G670</f>
        <v>#NUM!</v>
      </c>
      <c r="K671" s="506" t="str">
        <f>L669</f>
        <v/>
      </c>
      <c r="L671" s="469"/>
      <c r="M671" s="473" t="e">
        <f ca="1">SUM(J670-E672)&amp;" Tage"</f>
        <v>#NUM!</v>
      </c>
      <c r="N671" s="206"/>
      <c r="O671" s="201"/>
      <c r="P671" s="201"/>
      <c r="Q671" s="202"/>
      <c r="R671" s="189"/>
      <c r="S671" s="203"/>
      <c r="T671" s="203"/>
      <c r="U671" s="204"/>
      <c r="V671" s="192"/>
      <c r="W671" s="203"/>
      <c r="X671" s="203"/>
      <c r="Y671" s="204"/>
      <c r="Z671" s="192"/>
      <c r="AA671" s="203"/>
      <c r="AB671" s="203"/>
      <c r="AC671" s="204"/>
      <c r="AD671" s="192"/>
      <c r="AE671" s="203"/>
      <c r="AF671" s="203"/>
      <c r="AG671" s="204"/>
      <c r="AH671" s="193"/>
      <c r="AI671" s="203"/>
      <c r="AJ671" s="203"/>
      <c r="AK671" s="375"/>
      <c r="AL671" s="348"/>
      <c r="AM671" s="354"/>
      <c r="AN671" s="354"/>
      <c r="AO671" s="354"/>
      <c r="AP671" s="354"/>
      <c r="AQ671" s="350"/>
      <c r="AR671" s="769"/>
      <c r="AS671" s="769"/>
      <c r="AT671" s="769"/>
      <c r="BM671" s="335"/>
    </row>
    <row r="672" spans="1:65" ht="22.25" customHeight="1">
      <c r="A672" s="181">
        <f t="shared" si="227"/>
        <v>45292</v>
      </c>
      <c r="B672" s="485"/>
      <c r="C672" s="490"/>
      <c r="D672" s="521"/>
      <c r="E672" s="194" t="e">
        <f>DATE(YEAR(E671),MONTH(E671)+3,DAY(E671)-1)</f>
        <v>#NUM!</v>
      </c>
      <c r="F672" s="195" t="e">
        <f t="shared" si="235"/>
        <v>#NUM!</v>
      </c>
      <c r="G672" s="196" t="e">
        <f t="shared" si="236"/>
        <v>#NUM!</v>
      </c>
      <c r="H672" s="195" t="e">
        <f t="shared" si="237"/>
        <v>#NUM!</v>
      </c>
      <c r="I672" s="244">
        <v>-1</v>
      </c>
      <c r="J672" s="198" t="e">
        <f>F671-F670</f>
        <v>#NUM!</v>
      </c>
      <c r="K672" s="501" t="str">
        <f t="shared" si="231"/>
        <v>+Inflat.-P</v>
      </c>
      <c r="L672" s="511" t="e">
        <f>IF(M669="Stufe A",IF(AND(L670="Auswahl treffen",D671&gt;=0,D671&lt;=1000),J669,IF(AND(L670="Vermögend und ambulant",D671&gt;8,D671&lt;=1000),130,IF(AND(L670="Vermögend und ambulant",D671&gt;4,D671&lt;=8),158,IF(AND(L670="Vermögend und ambulant",D671&gt;2,D671&lt;=4),192,IF(AND(L670="Vermögend und ambulant",D671&gt;1,D671&lt;=2),208,IF(AND(L670="Vermögend und ambulant",D671&gt;0,D671&lt;=1),298,IF(AND(L670="Vermögend und stationär",D671&gt;8,D671&lt;=1000),78,IF(AND(L670="Vermögend und stationär",D671&gt;4,D671&lt;=8),91,IF(AND(L670="Vermögend und stationär",D671&gt;2,D671&lt;=4),140,IF(AND(L670="Vermögend und stationär",D671&gt;1,D671&lt;=2),158,IF(AND(L670="Vermögend und stationär",D671&gt;0,D671&lt;=1),200,IF(AND(L670="Mittellos und ambulant",D671&gt;8,D671&lt;=1000),105,IF(AND(L670="Mittellos und ambulant",D671&gt;4,D671&lt;=8),122,IF(AND(L670="Mittellos und ambulant",D671&gt;2,D671&lt;=4),151,IF(AND(L670="Mittellos und ambulant",D671&gt;1,D671&lt;=2),170,IF(AND(L670="Mittellos und ambulant",D671&gt;0,D671&lt;=1),208,IF(AND(L670="Mittellos und stationär",D671&gt;8,D671&lt;=1000),62,IF(AND(L670="Mittellos und stationär",D671&gt;4,D671&lt;=8),87,IF(AND(L670="Mittellos und stationär",D671&gt;2,D671&lt;=4),124,IF(AND(L670="Mittellos und stationär",D671&gt;1,D671&lt;=2),129,IF(AND(L670="Mittellos und stationär",D671&gt;0,D671&lt;=1),194,""))))))))))))))))))))),IF(M669="Stufe B",IF(AND(L670="Auswahl treffen",D671&gt;=0,D671&lt;=1000),J669,IF(AND(L670="Vermögend und ambulant",D671&gt;8,D671&lt;=1000),161,IF(AND(L670="Vermögend und ambulant",D671&gt;4,D671&lt;=8),196,IF(AND(L670="Vermögend und ambulant",D671&gt;2,D671&lt;=4),238,IF(AND(L670="Vermögend und ambulant",D671&gt;1,D671&lt;=2),258,IF(AND(L670="Vermögend und ambulant",D671&gt;0,D671&lt;=1),370,IF(AND(L670="Vermögend und stationär",D671&gt;8,D671&lt;=1000),96,IF(AND(L670="Vermögend und stationär",D671&gt;4,D671&lt;=8),113,IF(AND(L670="Vermögend und stationär",D671&gt;2,D671&lt;=4),174,IF(AND(L670="Vermögend und stationär",D671&gt;1,D671&lt;=2),196,IF(AND(L670="Vermögend und stationär",D671&gt;0,D671&lt;=1),249,IF(AND(L670="Mittellos und ambulant",D671&gt;8,D671&lt;=1000),130,IF(AND(L670="Mittellos und ambulant",D671&gt;4,D671&lt;=8),151,IF(AND(L670="Mittellos und ambulant",D671&gt;2,D671&lt;=4),188,IF(AND(L670="Mittellos und ambulant",D671&gt;1,D671&lt;=2),211,IF(AND(L670="Mittellos und ambulant",D671&gt;0,D671&lt;=1),258,IF(AND(L670="Mittellos und stationär",D671&gt;8,D671&lt;=1000),78,IF(AND(L670="Mittellos und stationär",D671&gt;4,D671&lt;=8),107,IF(AND(L670="Mittellos und stationär",D671&gt;2,D671&lt;=4),154,IF(AND(L670="Mittellos und stationär",D671&gt;1,D671&lt;=2),158,IF(AND(L670="Mittellos und stationär",D671&gt;0,D671&lt;=1),241,""))))))))))))))))))))),IF(M669="Stufe C",IF(AND(L670="Auswahl treffen",D671&gt;=0,D671&lt;=1000),J669,IF(AND(L670="Vermögend und ambulant",D671&gt;8,D671&lt;=1000),211,IF(AND(L670="Vermögend und ambulant",D671&gt;4,D671&lt;=8),257,IF(AND(L670="Vermögend und ambulant",D671&gt;2,D671&lt;=4),312,IF(AND(L670="Vermögend und ambulant",D671&gt;1,D671&lt;=2),339,IF(AND(L670="Vermögend und ambulant",D671&gt;0,D671&lt;=1),486,IF(AND(L670="Vermögend und stationär",D671&gt;8,D671&lt;=1000),127,IF(AND(L670="Vermögend und stationär",D671&gt;4,D671&lt;=8),149,IF(AND(L670="Vermögend und stationär",D671&gt;2,D671&lt;=4),229,IF(AND(L670="Vermögend und stationär",D671&gt;1,D671&lt;=2),257,IF(AND(L670="Vermögend und stationär",D671&gt;0,D671&lt;=1),327,IF(AND(L670="Mittellos und ambulant",D671&gt;8,D671&lt;=1000),171,IF(AND(L670="Mittellos und ambulant",D671&gt;4,D671&lt;=8),198,IF(AND(L670="Mittellos und ambulant",D671&gt;2,D671&lt;=4),246,IF(AND(L670="Mittellos und ambulant",D671&gt;1,D671&lt;=2),277,IF(AND(L670="Mittellos und ambulant",D671&gt;0,D671&lt;=1),339,IF(AND(L670="Mittellos und stationär",D671&gt;8,D671&lt;=1000),102,IF(AND(L670="Mittellos und stationär",D671&gt;4,D671&lt;=8),141,IF(AND(L670="Mittellos und stationär",D671&gt;2,D671&lt;=4),202,IF(AND(L670="Mittellos und stationär",D671&gt;1,D671&lt;=2),208,IF(AND(L670="Mittellos und stationär",D671&gt;0,D671&lt;=1),317,""))))))))))))))))))))),"")))*3+(J669*90)</f>
        <v>#NUM!</v>
      </c>
      <c r="M672" s="507" t="str">
        <f>CONCATENATE(K672, K671)</f>
        <v>+Inflat.-P</v>
      </c>
      <c r="N672" s="206" t="s">
        <v>118</v>
      </c>
      <c r="O672" s="207"/>
      <c r="P672" s="207"/>
      <c r="Q672" s="208"/>
      <c r="R672" s="187"/>
      <c r="S672" s="209" t="s">
        <v>118</v>
      </c>
      <c r="T672" s="201" t="s">
        <v>117</v>
      </c>
      <c r="U672" s="210" t="s">
        <v>26</v>
      </c>
      <c r="V672" s="192"/>
      <c r="W672" s="203"/>
      <c r="X672" s="203"/>
      <c r="Y672" s="210"/>
      <c r="Z672" s="192"/>
      <c r="AA672" s="203"/>
      <c r="AB672" s="203"/>
      <c r="AC672" s="210"/>
      <c r="AD672" s="192"/>
      <c r="AE672" s="203"/>
      <c r="AF672" s="203"/>
      <c r="AG672" s="210"/>
      <c r="AH672" s="193"/>
      <c r="AI672" s="203"/>
      <c r="AJ672" s="203"/>
      <c r="AK672" s="376"/>
      <c r="AL672" s="348" t="s">
        <v>148</v>
      </c>
      <c r="AM672" s="354">
        <f>IF(SUM(N670:N678)=SUM(S670:S678), 0, SUM(N670:N678)-SUM(S670:S678))</f>
        <v>0</v>
      </c>
      <c r="AN672" s="354"/>
      <c r="AO672" s="354"/>
      <c r="AP672" s="354"/>
      <c r="AQ672" s="350">
        <f>AM672+AN672+AO672+AP672</f>
        <v>0</v>
      </c>
      <c r="AR672" s="769"/>
      <c r="AS672" s="769"/>
      <c r="AT672" s="769"/>
      <c r="BM672" s="335"/>
    </row>
    <row r="673" spans="1:65" ht="22.25" customHeight="1">
      <c r="A673" s="181">
        <f t="shared" si="227"/>
        <v>45292</v>
      </c>
      <c r="B673" s="484" t="e">
        <f>MONTH(I670)</f>
        <v>#NUM!</v>
      </c>
      <c r="C673" s="489" t="s">
        <v>158</v>
      </c>
      <c r="D673" s="522" t="e">
        <f>D671+1</f>
        <v>#NUM!</v>
      </c>
      <c r="E673" s="211" t="e">
        <f>DATE(YEAR(E672),MONTH(E672),DAY(E672)+1)</f>
        <v>#NUM!</v>
      </c>
      <c r="F673" s="212" t="e">
        <f t="shared" si="235"/>
        <v>#NUM!</v>
      </c>
      <c r="G673" s="213" t="e">
        <f t="shared" si="236"/>
        <v>#NUM!</v>
      </c>
      <c r="H673" s="212" t="e">
        <f t="shared" si="237"/>
        <v>#NUM!</v>
      </c>
      <c r="I673" s="214" t="str">
        <f>IF(D670&lt;&gt;0,"-1T","")</f>
        <v/>
      </c>
      <c r="J673" s="215" t="e">
        <f>DATE($B675,I674,$B671)</f>
        <v>#NUM!</v>
      </c>
      <c r="K673" s="506" t="str">
        <f t="shared" si="231"/>
        <v/>
      </c>
      <c r="L673" s="470"/>
      <c r="M673" s="473" t="e">
        <f ca="1">SUM(J670-E674)&amp;" Tage"</f>
        <v>#NUM!</v>
      </c>
      <c r="N673" s="216"/>
      <c r="O673" s="217"/>
      <c r="P673" s="188"/>
      <c r="Q673" s="217"/>
      <c r="R673" s="189"/>
      <c r="S673" s="190"/>
      <c r="T673" s="190"/>
      <c r="U673" s="191"/>
      <c r="V673" s="192"/>
      <c r="W673" s="190"/>
      <c r="X673" s="190"/>
      <c r="Y673" s="191"/>
      <c r="Z673" s="192"/>
      <c r="AA673" s="190"/>
      <c r="AB673" s="190"/>
      <c r="AC673" s="191"/>
      <c r="AD673" s="192"/>
      <c r="AE673" s="190"/>
      <c r="AF673" s="190"/>
      <c r="AG673" s="191"/>
      <c r="AH673" s="193"/>
      <c r="AI673" s="190"/>
      <c r="AJ673" s="190"/>
      <c r="AK673" s="374"/>
      <c r="AL673" s="348"/>
      <c r="AM673" s="354"/>
      <c r="AN673" s="354"/>
      <c r="AO673" s="354"/>
      <c r="AP673" s="354"/>
      <c r="AQ673" s="350"/>
      <c r="AR673" s="769"/>
      <c r="AS673" s="769"/>
      <c r="AT673" s="769"/>
      <c r="BM673" s="335"/>
    </row>
    <row r="674" spans="1:65" ht="22.25" customHeight="1">
      <c r="A674" s="181">
        <f t="shared" si="227"/>
        <v>45292</v>
      </c>
      <c r="B674" s="485"/>
      <c r="C674" s="490"/>
      <c r="D674" s="521"/>
      <c r="E674" s="218" t="e">
        <f>DATE(YEAR(E673),MONTH(E673)+3,DAY(E673)-1)</f>
        <v>#NUM!</v>
      </c>
      <c r="F674" s="212" t="e">
        <f t="shared" si="235"/>
        <v>#NUM!</v>
      </c>
      <c r="G674" s="213" t="e">
        <f t="shared" si="236"/>
        <v>#NUM!</v>
      </c>
      <c r="H674" s="212" t="e">
        <f t="shared" si="237"/>
        <v>#NUM!</v>
      </c>
      <c r="I674" s="219">
        <f>MAX(I675:I678)</f>
        <v>9</v>
      </c>
      <c r="J674" s="220" t="e">
        <f>DATE(YEAR(J673)+1,MONTH(J673),DAY(J673))</f>
        <v>#NUM!</v>
      </c>
      <c r="K674" s="501" t="str">
        <f t="shared" si="231"/>
        <v>+Inflat.-P</v>
      </c>
      <c r="L674" s="508" t="e">
        <f>IF(M669="Stufe A",IF(AND(L670="Auswahl treffen",D673&gt;=0,D673&lt;=1000),J669,IF(AND(L670="Vermögend und ambulant",D673&gt;8,D673&lt;=1000),130,IF(AND(L670="Vermögend und ambulant",D673&gt;4,D673&lt;=8),158,IF(AND(L670="Vermögend und ambulant",D673&gt;2,D673&lt;=4),192,IF(AND(L670="Vermögend und ambulant",D673&gt;1,D673&lt;=2),208,IF(AND(L670="Vermögend und ambulant",D673&gt;0,D673&lt;=1),298,IF(AND(L670="Vermögend und stationär",D673&gt;8,D673&lt;=1000),78,IF(AND(L670="Vermögend und stationär",D673&gt;4,D673&lt;=8),91,IF(AND(L670="Vermögend und stationär",D673&gt;2,D673&lt;=4),140,IF(AND(L670="Vermögend und stationär",D673&gt;1,D673&lt;=2),158,IF(AND(L670="Vermögend und stationär",D673&gt;0,D673&lt;=1),200,IF(AND(L670="Mittellos und ambulant",D673&gt;8,D673&lt;=1000),105,IF(AND(L670="Mittellos und ambulant",D673&gt;4,D673&lt;=8),122,IF(AND(L670="Mittellos und ambulant",D673&gt;2,D673&lt;=4),151,IF(AND(L670="Mittellos und ambulant",D673&gt;1,D673&lt;=2),170,IF(AND(L670="Mittellos und ambulant",D673&gt;0,D673&lt;=1),208,IF(AND(L670="Mittellos und stationär",D673&gt;8,D673&lt;=1000),62,IF(AND(L670="Mittellos und stationär",D673&gt;4,D673&lt;=8),87,IF(AND(L670="Mittellos und stationär",D673&gt;2,D673&lt;=4),124,IF(AND(L670="Mittellos und stationär",D673&gt;1,D673&lt;=2),129,IF(AND(L670="Mittellos und stationär",D673&gt;0,D673&lt;=1),194,""))))))))))))))))))))),IF(M669="Stufe B",IF(AND(L670="Auswahl treffen",D673&gt;=0,D673&lt;=1000),J669,IF(AND(L670="Vermögend und ambulant",D673&gt;8,D673&lt;=1000),161,IF(AND(L670="Vermögend und ambulant",D673&gt;4,D673&lt;=8),196,IF(AND(L670="Vermögend und ambulant",D673&gt;2,D673&lt;=4),238,IF(AND(L670="Vermögend und ambulant",D673&gt;1,D673&lt;=2),258,IF(AND(L670="Vermögend und ambulant",D673&gt;0,D673&lt;=1),370,IF(AND(L670="Vermögend und stationär",D673&gt;8,D673&lt;=1000),96,IF(AND(L670="Vermögend und stationär",D673&gt;4,D673&lt;=8),113,IF(AND(L670="Vermögend und stationär",D673&gt;2,D673&lt;=4),174,IF(AND(L670="Vermögend und stationär",D673&gt;1,D673&lt;=2),196,IF(AND(L670="Vermögend und stationär",D673&gt;0,D673&lt;=1),249,IF(AND(L670="Mittellos und ambulant",D673&gt;8,D673&lt;=1000),130,IF(AND(L670="Mittellos und ambulant",D673&gt;4,D673&lt;=8),151,IF(AND(L670="Mittellos und ambulant",D673&gt;2,D673&lt;=4),188,IF(AND(L670="Mittellos und ambulant",D673&gt;1,D673&lt;=2),211,IF(AND(L670="Mittellos und ambulant",D673&gt;0,D673&lt;=1),258,IF(AND(L670="Mittellos und stationär",D673&gt;8,D673&lt;=1000),78,IF(AND(L670="Mittellos und stationär",D673&gt;4,D673&lt;=8),107,IF(AND(L670="Mittellos und stationär",D673&gt;2,D673&lt;=4),154,IF(AND(L670="Mittellos und stationär",D673&gt;1,D673&lt;=2),158,IF(AND(L670="Mittellos und stationär",D673&gt;0,D673&lt;=1),241,""))))))))))))))))))))),IF(M669="Stufe C",IF(AND(L670="Auswahl treffen",D673&gt;=0,D673&lt;=1000),J669,IF(AND(L670="Vermögend und ambulant",D673&gt;8,D673&lt;=1000),211,IF(AND(L670="Vermögend und ambulant",D673&gt;4,D673&lt;=8),257,IF(AND(L670="Vermögend und ambulant",D673&gt;2,D673&lt;=4),312,IF(AND(L670="Vermögend und ambulant",D673&gt;1,D673&lt;=2),339,IF(AND(L670="Vermögend und ambulant",D673&gt;0,D673&lt;=1),486,IF(AND(L670="Vermögend und stationär",D673&gt;8,D673&lt;=1000),127,IF(AND(L670="Vermögend und stationär",D673&gt;4,D673&lt;=8),149,IF(AND(L670="Vermögend und stationär",D673&gt;2,D673&lt;=4),229,IF(AND(L670="Vermögend und stationär",D673&gt;1,D673&lt;=2),257,IF(AND(L670="Vermögend und stationär",D673&gt;0,D673&lt;=1),327,IF(AND(L670="Mittellos und ambulant",D673&gt;8,D673&lt;=1000),171,IF(AND(L670="Mittellos und ambulant",D673&gt;4,D673&lt;=8),198,IF(AND(L670="Mittellos und ambulant",D673&gt;2,D673&lt;=4),246,IF(AND(L670="Mittellos und ambulant",D673&gt;1,D673&lt;=2),277,IF(AND(L670="Mittellos und ambulant",D673&gt;0,D673&lt;=1),339,IF(AND(L670="Mittellos und stationär",D673&gt;8,D673&lt;=1000),102,IF(AND(L670="Mittellos und stationär",D673&gt;4,D673&lt;=8),141,IF(AND(L670="Mittellos und stationär",D673&gt;2,D673&lt;=4),202,IF(AND(L670="Mittellos und stationär",D673&gt;1,D673&lt;=2),208,IF(AND(L670="Mittellos und stationär",D673&gt;0,D673&lt;=1),317,""))))))))))))))))))))),"")))*3+(J669*90)</f>
        <v>#NUM!</v>
      </c>
      <c r="M674" s="507" t="str">
        <f>CONCATENATE(K674, K673)</f>
        <v>+Inflat.-P</v>
      </c>
      <c r="N674" s="216"/>
      <c r="O674" s="188" t="s">
        <v>118</v>
      </c>
      <c r="P674" s="188"/>
      <c r="Q674" s="221"/>
      <c r="R674" s="199"/>
      <c r="S674" s="190"/>
      <c r="T674" s="190"/>
      <c r="U674" s="191"/>
      <c r="V674" s="192"/>
      <c r="W674" s="222" t="s">
        <v>118</v>
      </c>
      <c r="X674" s="222" t="s">
        <v>117</v>
      </c>
      <c r="Y674" s="191" t="s">
        <v>26</v>
      </c>
      <c r="Z674" s="192"/>
      <c r="AA674" s="190"/>
      <c r="AB674" s="190"/>
      <c r="AC674" s="191"/>
      <c r="AD674" s="192"/>
      <c r="AE674" s="190"/>
      <c r="AF674" s="190"/>
      <c r="AG674" s="191"/>
      <c r="AH674" s="193"/>
      <c r="AI674" s="190"/>
      <c r="AJ674" s="190"/>
      <c r="AK674" s="374"/>
      <c r="AL674" s="348" t="s">
        <v>149</v>
      </c>
      <c r="AM674" s="354"/>
      <c r="AN674" s="354">
        <f>IF(SUM(O670:O678)=SUM(W670:W678), 0, SUM(O670:O678)-SUM(W670:W678))</f>
        <v>0</v>
      </c>
      <c r="AO674" s="354"/>
      <c r="AP674" s="354"/>
      <c r="AQ674" s="350">
        <f>AM674+AN674+AO674+AP674</f>
        <v>0</v>
      </c>
      <c r="AR674" s="769"/>
      <c r="AS674" s="769"/>
      <c r="AT674" s="769"/>
      <c r="BM674" s="335"/>
    </row>
    <row r="675" spans="1:65" ht="22.25" customHeight="1">
      <c r="A675" s="181">
        <f t="shared" si="227"/>
        <v>45292</v>
      </c>
      <c r="B675" s="484">
        <f>YEAR($A676)-1</f>
        <v>2023</v>
      </c>
      <c r="C675" s="489" t="s">
        <v>158</v>
      </c>
      <c r="D675" s="520" t="e">
        <f>D673+1</f>
        <v>#NUM!</v>
      </c>
      <c r="E675" s="194" t="e">
        <f>DATE(YEAR(E674),MONTH(E674),DAY(E674)+1)</f>
        <v>#NUM!</v>
      </c>
      <c r="F675" s="195" t="e">
        <f t="shared" si="235"/>
        <v>#NUM!</v>
      </c>
      <c r="G675" s="196" t="e">
        <f t="shared" si="236"/>
        <v>#NUM!</v>
      </c>
      <c r="H675" s="195" t="e">
        <f t="shared" si="237"/>
        <v>#NUM!</v>
      </c>
      <c r="I675" s="197">
        <f>IF(J677&lt;13,J677,"")</f>
        <v>9</v>
      </c>
      <c r="J675" s="224">
        <f>G670</f>
        <v>0</v>
      </c>
      <c r="K675" s="506" t="str">
        <f t="shared" si="231"/>
        <v/>
      </c>
      <c r="L675" s="471"/>
      <c r="M675" s="473" t="e">
        <f ca="1">SUM(J670-E676)&amp;" Tage"</f>
        <v>#NUM!</v>
      </c>
      <c r="N675" s="200"/>
      <c r="O675" s="201"/>
      <c r="P675" s="201"/>
      <c r="Q675" s="202"/>
      <c r="R675" s="189"/>
      <c r="S675" s="203"/>
      <c r="T675" s="203"/>
      <c r="U675" s="204"/>
      <c r="V675" s="192"/>
      <c r="W675" s="203"/>
      <c r="X675" s="203"/>
      <c r="Y675" s="204"/>
      <c r="Z675" s="192"/>
      <c r="AA675" s="203"/>
      <c r="AB675" s="203"/>
      <c r="AC675" s="204"/>
      <c r="AD675" s="192"/>
      <c r="AE675" s="203"/>
      <c r="AF675" s="203"/>
      <c r="AG675" s="204"/>
      <c r="AH675" s="193"/>
      <c r="AI675" s="203"/>
      <c r="AJ675" s="203"/>
      <c r="AK675" s="375"/>
      <c r="AL675" s="348"/>
      <c r="AM675" s="354"/>
      <c r="AN675" s="354"/>
      <c r="AO675" s="354"/>
      <c r="AP675" s="354"/>
      <c r="AQ675" s="350"/>
      <c r="AR675" s="769"/>
      <c r="AS675" s="769"/>
      <c r="AT675" s="769"/>
      <c r="BM675" s="335"/>
    </row>
    <row r="676" spans="1:65" ht="22.25" customHeight="1">
      <c r="A676" s="181">
        <f t="shared" si="227"/>
        <v>45292</v>
      </c>
      <c r="B676" s="485"/>
      <c r="C676" s="490"/>
      <c r="D676" s="521"/>
      <c r="E676" s="194" t="e">
        <f>DATE(YEAR(E675),MONTH(E675)+3,DAY(E675)-1)</f>
        <v>#NUM!</v>
      </c>
      <c r="F676" s="195" t="e">
        <f t="shared" si="235"/>
        <v>#NUM!</v>
      </c>
      <c r="G676" s="196" t="e">
        <f t="shared" si="236"/>
        <v>#NUM!</v>
      </c>
      <c r="H676" s="195" t="e">
        <f t="shared" si="237"/>
        <v>#NUM!</v>
      </c>
      <c r="I676" s="244">
        <f>IF(J678&lt;13,J678,"")</f>
        <v>6</v>
      </c>
      <c r="J676" s="224">
        <f>J675+3</f>
        <v>3</v>
      </c>
      <c r="K676" s="501" t="str">
        <f t="shared" si="231"/>
        <v>+Inflat.-P</v>
      </c>
      <c r="L676" s="511" t="e">
        <f>IF(M669="Stufe A",IF(AND(L670="Auswahl treffen",D675&gt;=0,D675&lt;=1000),J669,IF(AND(L670="Vermögend und ambulant",D675&gt;8,D675&lt;=1000),130,IF(AND(L670="Vermögend und ambulant",D675&gt;4,D675&lt;=8),158,IF(AND(L670="Vermögend und ambulant",D675&gt;2,D675&lt;=4),192,IF(AND(L670="Vermögend und ambulant",D675&gt;1,D675&lt;=2),208,IF(AND(L670="Vermögend und ambulant",D675&gt;0,D675&lt;=1),298,IF(AND(L670="Vermögend und stationär",D675&gt;8,D675&lt;=1000),78,IF(AND(L670="Vermögend und stationär",D675&gt;4,D675&lt;=8),91,IF(AND(L670="Vermögend und stationär",D675&gt;2,D675&lt;=4),140,IF(AND(L670="Vermögend und stationär",D675&gt;1,D675&lt;=2),158,IF(AND(L670="Vermögend und stationär",D675&gt;0,D675&lt;=1),200,IF(AND(L670="Mittellos und ambulant",D675&gt;8,D675&lt;=1000),105,IF(AND(L670="Mittellos und ambulant",D675&gt;4,D675&lt;=8),122,IF(AND(L670="Mittellos und ambulant",D675&gt;2,D675&lt;=4),151,IF(AND(L670="Mittellos und ambulant",D675&gt;1,D675&lt;=2),170,IF(AND(L670="Mittellos und ambulant",D675&gt;0,D675&lt;=1),208,IF(AND(L670="Mittellos und stationär",D675&gt;8,D675&lt;=1000),62,IF(AND(L670="Mittellos und stationär",D675&gt;4,D675&lt;=8),87,IF(AND(L670="Mittellos und stationär",D675&gt;2,D675&lt;=4),124,IF(AND(L670="Mittellos und stationär",D675&gt;1,D675&lt;=2),129,IF(AND(L670="Mittellos und stationär",D675&gt;0,D675&lt;=1),194,""))))))))))))))))))))),IF(M669="Stufe B",IF(AND(L670="Auswahl treffen",D675&gt;=0,D675&lt;=1000),J669,IF(AND(L670="Vermögend und ambulant",D675&gt;8,D675&lt;=1000),161,IF(AND(L670="Vermögend und ambulant",D675&gt;4,D675&lt;=8),196,IF(AND(L670="Vermögend und ambulant",D675&gt;2,D675&lt;=4),238,IF(AND(L670="Vermögend und ambulant",D675&gt;1,D675&lt;=2),258,IF(AND(L670="Vermögend und ambulant",D675&gt;0,D675&lt;=1),370,IF(AND(L670="Vermögend und stationär",D675&gt;8,D675&lt;=1000),96,IF(AND(L670="Vermögend und stationär",D675&gt;4,D675&lt;=8),113,IF(AND(L670="Vermögend und stationär",D675&gt;2,D675&lt;=4),174,IF(AND(L670="Vermögend und stationär",D675&gt;1,D675&lt;=2),196,IF(AND(L670="Vermögend und stationär",D675&gt;0,D675&lt;=1),249,IF(AND(L670="Mittellos und ambulant",D675&gt;8,D675&lt;=1000),130,IF(AND(L670="Mittellos und ambulant",D675&gt;4,D675&lt;=8),151,IF(AND(L670="Mittellos und ambulant",D675&gt;2,D675&lt;=4),188,IF(AND(L670="Mittellos und ambulant",D675&gt;1,D675&lt;=2),211,IF(AND(L670="Mittellos und ambulant",D675&gt;0,D675&lt;=1),258,IF(AND(L670="Mittellos und stationär",D675&gt;8,D675&lt;=1000),78,IF(AND(L670="Mittellos und stationär",D675&gt;4,D675&lt;=8),107,IF(AND(L670="Mittellos und stationär",D675&gt;2,D675&lt;=4),154,IF(AND(L670="Mittellos und stationär",D675&gt;1,D675&lt;=2),158,IF(AND(L670="Mittellos und stationär",D675&gt;0,D675&lt;=1),241,""))))))))))))))))))))),IF(M669="Stufe C",IF(AND(L670="Auswahl treffen",D675&gt;=0,D675&lt;=1000),J669,IF(AND(L670="Vermögend und ambulant",D675&gt;8,D675&lt;=1000),211,IF(AND(L670="Vermögend und ambulant",D675&gt;4,D675&lt;=8),257,IF(AND(L670="Vermögend und ambulant",D675&gt;2,D675&lt;=4),312,IF(AND(L670="Vermögend und ambulant",D675&gt;1,D675&lt;=2),339,IF(AND(L670="Vermögend und ambulant",D675&gt;0,D675&lt;=1),486,IF(AND(L670="Vermögend und stationär",D675&gt;8,D675&lt;=1000),127,IF(AND(L670="Vermögend und stationär",D675&gt;4,D675&lt;=8),149,IF(AND(L670="Vermögend und stationär",D675&gt;2,D675&lt;=4),229,IF(AND(L670="Vermögend und stationär",D675&gt;1,D675&lt;=2),257,IF(AND(L670="Vermögend und stationär",D675&gt;0,D675&lt;=1),327,IF(AND(L670="Mittellos und ambulant",D675&gt;8,D675&lt;=1000),171,IF(AND(L670="Mittellos und ambulant",D675&gt;4,D675&lt;=8),198,IF(AND(L670="Mittellos und ambulant",D675&gt;2,D675&lt;=4),246,IF(AND(L670="Mittellos und ambulant",D675&gt;1,D675&lt;=2),277,IF(AND(L670="Mittellos und ambulant",D675&gt;0,D675&lt;=1),339,IF(AND(L670="Mittellos und stationär",D675&gt;8,D675&lt;=1000),102,IF(AND(L670="Mittellos und stationär",D675&gt;4,D675&lt;=8),141,IF(AND(L670="Mittellos und stationär",D675&gt;2,D675&lt;=4),202,IF(AND(L670="Mittellos und stationär",D675&gt;1,D675&lt;=2),208,IF(AND(L670="Mittellos und stationär",D675&gt;0,D675&lt;=1),317,""))))))))))))))))))))),"")))*3+(J669*90)</f>
        <v>#NUM!</v>
      </c>
      <c r="M676" s="507" t="str">
        <f>CONCATENATE(K676, K675)</f>
        <v>+Inflat.-P</v>
      </c>
      <c r="N676" s="206"/>
      <c r="O676" s="207"/>
      <c r="P676" s="206" t="s">
        <v>118</v>
      </c>
      <c r="Q676" s="226"/>
      <c r="R676" s="189"/>
      <c r="S676" s="203"/>
      <c r="T676" s="203"/>
      <c r="U676" s="204"/>
      <c r="V676" s="192"/>
      <c r="W676" s="203"/>
      <c r="X676" s="203"/>
      <c r="Y676" s="204"/>
      <c r="Z676" s="192"/>
      <c r="AA676" s="209" t="s">
        <v>118</v>
      </c>
      <c r="AB676" s="209" t="s">
        <v>117</v>
      </c>
      <c r="AC676" s="204" t="s">
        <v>26</v>
      </c>
      <c r="AD676" s="192"/>
      <c r="AE676" s="203"/>
      <c r="AF676" s="203"/>
      <c r="AG676" s="204"/>
      <c r="AH676" s="193"/>
      <c r="AI676" s="203"/>
      <c r="AJ676" s="203"/>
      <c r="AK676" s="375"/>
      <c r="AL676" s="348" t="s">
        <v>150</v>
      </c>
      <c r="AM676" s="354"/>
      <c r="AN676" s="354"/>
      <c r="AO676" s="354">
        <f>IF(SUM(P670:P678)=SUM(AA670:AA678), 0, SUM(P670:P678)-SUM(AA670:AA678))</f>
        <v>0</v>
      </c>
      <c r="AP676" s="354"/>
      <c r="AQ676" s="350">
        <f>AM676+AN676+AO676+AP676</f>
        <v>0</v>
      </c>
      <c r="AR676" s="769"/>
      <c r="AS676" s="769"/>
      <c r="AT676" s="769"/>
      <c r="BM676" s="335"/>
    </row>
    <row r="677" spans="1:65" ht="22.25" customHeight="1">
      <c r="A677" s="181">
        <f t="shared" si="227"/>
        <v>45292</v>
      </c>
      <c r="B677" s="486"/>
      <c r="C677" s="489" t="s">
        <v>158</v>
      </c>
      <c r="D677" s="522" t="e">
        <f>D675+1</f>
        <v>#NUM!</v>
      </c>
      <c r="E677" s="211" t="e">
        <f>DATE(YEAR(E676),MONTH(E676),DAY(E676)+1)</f>
        <v>#NUM!</v>
      </c>
      <c r="F677" s="227" t="e">
        <f t="shared" si="235"/>
        <v>#NUM!</v>
      </c>
      <c r="G677" s="228" t="e">
        <f t="shared" si="236"/>
        <v>#NUM!</v>
      </c>
      <c r="H677" s="227" t="e">
        <f t="shared" si="237"/>
        <v>#NUM!</v>
      </c>
      <c r="I677" s="231">
        <f>IF(J676&lt;13,J676,"")</f>
        <v>3</v>
      </c>
      <c r="J677" s="230">
        <f>J678+3</f>
        <v>9</v>
      </c>
      <c r="K677" s="501" t="str">
        <f t="shared" si="231"/>
        <v/>
      </c>
      <c r="L677" s="471"/>
      <c r="M677" s="473" t="e">
        <f ca="1">SUM(J670-E678)&amp;" Tage"</f>
        <v>#NUM!</v>
      </c>
      <c r="N677" s="216"/>
      <c r="O677" s="188"/>
      <c r="P677" s="188"/>
      <c r="Q677" s="217"/>
      <c r="R677" s="189"/>
      <c r="S677" s="190"/>
      <c r="T677" s="190"/>
      <c r="U677" s="191"/>
      <c r="V677" s="192"/>
      <c r="W677" s="190"/>
      <c r="X677" s="190"/>
      <c r="Y677" s="191"/>
      <c r="Z677" s="192"/>
      <c r="AA677" s="190"/>
      <c r="AB677" s="190"/>
      <c r="AC677" s="191"/>
      <c r="AD677" s="192"/>
      <c r="AE677" s="190"/>
      <c r="AF677" s="190"/>
      <c r="AG677" s="191"/>
      <c r="AH677" s="193"/>
      <c r="AI677" s="190"/>
      <c r="AJ677" s="190"/>
      <c r="AK677" s="374"/>
      <c r="AL677" s="348"/>
      <c r="AM677" s="354"/>
      <c r="AN677" s="354"/>
      <c r="AO677" s="354"/>
      <c r="AP677" s="354"/>
      <c r="AQ677" s="350"/>
      <c r="AR677" s="769"/>
      <c r="AS677" s="769"/>
      <c r="AT677" s="769"/>
      <c r="BM677" s="335"/>
    </row>
    <row r="678" spans="1:65" ht="22.25" customHeight="1">
      <c r="A678" s="181">
        <f t="shared" si="227"/>
        <v>45292</v>
      </c>
      <c r="B678" s="485"/>
      <c r="C678" s="490"/>
      <c r="D678" s="521"/>
      <c r="E678" s="218" t="e">
        <f>DATE(YEAR(E677),MONTH(E677)+3,DAY(E677)-1)</f>
        <v>#NUM!</v>
      </c>
      <c r="F678" s="227" t="e">
        <f t="shared" si="235"/>
        <v>#NUM!</v>
      </c>
      <c r="G678" s="228" t="e">
        <f t="shared" si="236"/>
        <v>#NUM!</v>
      </c>
      <c r="H678" s="227" t="e">
        <f t="shared" si="237"/>
        <v>#NUM!</v>
      </c>
      <c r="I678" s="231">
        <f>IF(J675&lt;13,J675,"")</f>
        <v>0</v>
      </c>
      <c r="J678" s="230">
        <f>J676+3</f>
        <v>6</v>
      </c>
      <c r="K678" s="506" t="str">
        <f t="shared" si="231"/>
        <v>+Inflat.-P</v>
      </c>
      <c r="L678" s="508" t="e">
        <f>IF(M669="Stufe A",IF(AND(L670="Auswahl treffen",D677&gt;=0,D677&lt;=1000),J669,IF(AND(L670="Vermögend und ambulant",D677&gt;8,D677&lt;=1000),130,IF(AND(L670="Vermögend und ambulant",D677&gt;4,D677&lt;=8),158,IF(AND(L670="Vermögend und ambulant",D677&gt;2,D677&lt;=4),192,IF(AND(L670="Vermögend und ambulant",D677&gt;1,D677&lt;=2),208,IF(AND(L670="Vermögend und ambulant",D677&gt;0,D677&lt;=1),298,IF(AND(L670="Vermögend und stationär",D677&gt;8,D677&lt;=1000),78,IF(AND(L670="Vermögend und stationär",D677&gt;4,D677&lt;=8),91,IF(AND(L670="Vermögend und stationär",D677&gt;2,D677&lt;=4),140,IF(AND(L670="Vermögend und stationär",D677&gt;1,D677&lt;=2),158,IF(AND(L670="Vermögend und stationär",D677&gt;0,D677&lt;=1),200,IF(AND(L670="Mittellos und ambulant",D677&gt;8,D677&lt;=1000),105,IF(AND(L670="Mittellos und ambulant",D677&gt;4,D677&lt;=8),122,IF(AND(L670="Mittellos und ambulant",D677&gt;2,D677&lt;=4),151,IF(AND(L670="Mittellos und ambulant",D677&gt;1,D677&lt;=2),170,IF(AND(L670="Mittellos und ambulant",D677&gt;0,D677&lt;=1),208,IF(AND(L670="Mittellos und stationär",D677&gt;8,D677&lt;=1000),62,IF(AND(L670="Mittellos und stationär",D677&gt;4,D677&lt;=8),87,IF(AND(L670="Mittellos und stationär",D677&gt;2,D677&lt;=4),124,IF(AND(L670="Mittellos und stationär",D677&gt;1,D677&lt;=2),129,IF(AND(L670="Mittellos und stationär",D677&gt;0,D677&lt;=1),194,""))))))))))))))))))))),IF(M669="Stufe B",IF(AND(L670="Auswahl treffen",D677&gt;=0,D677&lt;=1000),J669,IF(AND(L670="Vermögend und ambulant",D677&gt;8,D677&lt;=1000),161,IF(AND(L670="Vermögend und ambulant",D677&gt;4,D677&lt;=8),196,IF(AND(L670="Vermögend und ambulant",D677&gt;2,D677&lt;=4),238,IF(AND(L670="Vermögend und ambulant",D677&gt;1,D677&lt;=2),258,IF(AND(L670="Vermögend und ambulant",D677&gt;0,D677&lt;=1),370,IF(AND(L670="Vermögend und stationär",D677&gt;8,D677&lt;=1000),96,IF(AND(L670="Vermögend und stationär",D677&gt;4,D677&lt;=8),113,IF(AND(L670="Vermögend und stationär",D677&gt;2,D677&lt;=4),174,IF(AND(L670="Vermögend und stationär",D677&gt;1,D677&lt;=2),196,IF(AND(L670="Vermögend und stationär",D677&gt;0,D677&lt;=1),249,IF(AND(L670="Mittellos und ambulant",D677&gt;8,D677&lt;=1000),130,IF(AND(L670="Mittellos und ambulant",D677&gt;4,D677&lt;=8),151,IF(AND(L670="Mittellos und ambulant",D677&gt;2,D677&lt;=4),188,IF(AND(L670="Mittellos und ambulant",D677&gt;1,D677&lt;=2),211,IF(AND(L670="Mittellos und ambulant",D677&gt;0,D677&lt;=1),258,IF(AND(L670="Mittellos und stationär",D677&gt;8,D677&lt;=1000),78,IF(AND(L670="Mittellos und stationär",D677&gt;4,D677&lt;=8),107,IF(AND(L670="Mittellos und stationär",D677&gt;2,D677&lt;=4),154,IF(AND(L670="Mittellos und stationär",D677&gt;1,D677&lt;=2),158,IF(AND(L670="Mittellos und stationär",D677&gt;0,D677&lt;=1),241,""))))))))))))))))))))),IF(M669="Stufe C",IF(AND(L670="Auswahl treffen",D677&gt;=0,D677&lt;=1000),J669,IF(AND(L670="Vermögend und ambulant",D677&gt;8,D677&lt;=1000),211,IF(AND(L670="Vermögend und ambulant",D677&gt;4,D677&lt;=8),257,IF(AND(L670="Vermögend und ambulant",D677&gt;2,D677&lt;=4),312,IF(AND(L670="Vermögend und ambulant",D677&gt;1,D677&lt;=2),339,IF(AND(L670="Vermögend und ambulant",D677&gt;0,D677&lt;=1),486,IF(AND(L670="Vermögend und stationär",D677&gt;8,D677&lt;=1000),127,IF(AND(L670="Vermögend und stationär",D677&gt;4,D677&lt;=8),149,IF(AND(L670="Vermögend und stationär",D677&gt;2,D677&lt;=4),229,IF(AND(L670="Vermögend und stationär",D677&gt;1,D677&lt;=2),257,IF(AND(L670="Vermögend und stationär",D677&gt;0,D677&lt;=1),327,IF(AND(L670="Mittellos und ambulant",D677&gt;8,D677&lt;=1000),171,IF(AND(L670="Mittellos und ambulant",D677&gt;4,D677&lt;=8),198,IF(AND(L670="Mittellos und ambulant",D677&gt;2,D677&lt;=4),246,IF(AND(L670="Mittellos und ambulant",D677&gt;1,D677&lt;=2),277,IF(AND(L670="Mittellos und ambulant",D677&gt;0,D677&lt;=1),339,IF(AND(L670="Mittellos und stationär",D677&gt;8,D677&lt;=1000),102,IF(AND(L670="Mittellos und stationär",D677&gt;4,D677&lt;=8),141,IF(AND(L670="Mittellos und stationär",D677&gt;2,D677&lt;=4),202,IF(AND(L670="Mittellos und stationär",D677&gt;1,D677&lt;=2),208,IF(AND(L670="Mittellos und stationär",D677&gt;0,D677&lt;=1),317,""))))))))))))))))))))),"")))*3+(J669*90)</f>
        <v>#NUM!</v>
      </c>
      <c r="M678" s="507" t="str">
        <f>CONCATENATE(K678, K677)</f>
        <v>+Inflat.-P</v>
      </c>
      <c r="N678" s="216"/>
      <c r="O678" s="188"/>
      <c r="P678" s="188"/>
      <c r="Q678" s="217" t="s">
        <v>118</v>
      </c>
      <c r="R678" s="189"/>
      <c r="S678" s="190"/>
      <c r="T678" s="190"/>
      <c r="U678" s="191"/>
      <c r="V678" s="192"/>
      <c r="W678" s="190"/>
      <c r="X678" s="190"/>
      <c r="Y678" s="191"/>
      <c r="Z678" s="192"/>
      <c r="AA678" s="190"/>
      <c r="AB678" s="190"/>
      <c r="AC678" s="191"/>
      <c r="AD678" s="192"/>
      <c r="AE678" s="190" t="s">
        <v>118</v>
      </c>
      <c r="AF678" s="190" t="s">
        <v>117</v>
      </c>
      <c r="AG678" s="191" t="s">
        <v>26</v>
      </c>
      <c r="AH678" s="193"/>
      <c r="AI678" s="190" t="s">
        <v>118</v>
      </c>
      <c r="AJ678" s="190" t="s">
        <v>117</v>
      </c>
      <c r="AK678" s="374" t="s">
        <v>26</v>
      </c>
      <c r="AL678" s="348" t="s">
        <v>151</v>
      </c>
      <c r="AM678" s="354"/>
      <c r="AN678" s="354"/>
      <c r="AO678" s="354"/>
      <c r="AP678" s="354">
        <f>IF(SUM(Q670:Q678)=SUM(AE670:AE678,AI670:AI678), 0, SUM(Q670:Q678)-SUM(AE670:AE678,AI670:AI678))</f>
        <v>0</v>
      </c>
      <c r="AQ678" s="350">
        <f>AM678+AN678+AO678+AP678</f>
        <v>0</v>
      </c>
      <c r="AR678" s="769"/>
      <c r="AS678" s="769"/>
      <c r="AT678" s="769"/>
      <c r="BM678" s="335"/>
    </row>
    <row r="679" spans="1:65" ht="22" customHeight="1">
      <c r="A679" s="181">
        <f t="shared" si="227"/>
        <v>45292</v>
      </c>
      <c r="B679" s="232" t="s">
        <v>74</v>
      </c>
      <c r="C679" s="233" t="s">
        <v>75</v>
      </c>
      <c r="D679" s="234" t="s">
        <v>76</v>
      </c>
      <c r="E679" s="235" t="s">
        <v>11</v>
      </c>
      <c r="F679" s="235" t="s">
        <v>4</v>
      </c>
      <c r="G679" s="235" t="s">
        <v>5</v>
      </c>
      <c r="H679" s="235" t="s">
        <v>6</v>
      </c>
      <c r="I679" s="236" t="s">
        <v>77</v>
      </c>
      <c r="J679" s="306"/>
      <c r="K679" s="501" t="str">
        <f t="shared" si="231"/>
        <v/>
      </c>
      <c r="L679" s="306" t="str">
        <f>IFERROR(VLOOKUP(B680,'Aktuelle Einnahmen'!A2:J104,10,0),"")</f>
        <v/>
      </c>
      <c r="M679" s="510" t="str">
        <f>M669</f>
        <v>Stufe C</v>
      </c>
      <c r="N679" s="237"/>
      <c r="O679" s="238"/>
      <c r="P679" s="238"/>
      <c r="Q679" s="239"/>
      <c r="R679" s="240"/>
      <c r="S679" s="241"/>
      <c r="T679" s="241"/>
      <c r="U679" s="242"/>
      <c r="V679" s="243"/>
      <c r="W679" s="241"/>
      <c r="X679" s="241"/>
      <c r="Y679" s="242"/>
      <c r="Z679" s="243"/>
      <c r="AA679" s="241"/>
      <c r="AB679" s="241"/>
      <c r="AC679" s="242"/>
      <c r="AD679" s="243"/>
      <c r="AE679" s="241"/>
      <c r="AF679" s="241"/>
      <c r="AG679" s="242"/>
      <c r="AH679" s="240"/>
      <c r="AI679" s="241"/>
      <c r="AJ679" s="241"/>
      <c r="AK679" s="377"/>
      <c r="AL679" s="347"/>
      <c r="AM679" s="353"/>
      <c r="AN679" s="353"/>
      <c r="AO679" s="353"/>
      <c r="AP679" s="353"/>
      <c r="AQ679" s="349"/>
      <c r="AR679" s="768"/>
      <c r="AS679" s="768"/>
      <c r="AT679" s="768"/>
      <c r="BM679" s="335"/>
    </row>
    <row r="680" spans="1:65" ht="23" customHeight="1">
      <c r="A680" s="181">
        <f t="shared" si="227"/>
        <v>45292</v>
      </c>
      <c r="B680" s="182">
        <v>68</v>
      </c>
      <c r="C680" s="245">
        <f>IFERROR(VLOOKUP($B680,'Aktuelle Einnahmen'!A2:G104,3,0),"")</f>
        <v>0</v>
      </c>
      <c r="D680" s="246">
        <f>IFERROR(VLOOKUP($B680,'Aktuelle Einnahmen'!A2:G104,2,0),"")</f>
        <v>0</v>
      </c>
      <c r="E680" s="247">
        <f>IFERROR(VLOOKUP($B680,'Aktuelle Einnahmen'!A2:G104,4,0),"")</f>
        <v>0</v>
      </c>
      <c r="F680" s="94">
        <f>IFERROR(VLOOKUP($B680,'Aktuelle Einnahmen'!A2:G104,5,0),"")</f>
        <v>0</v>
      </c>
      <c r="G680" s="94">
        <f>IFERROR(VLOOKUP($B680,'Aktuelle Einnahmen'!A2:G104,6,0),"")</f>
        <v>0</v>
      </c>
      <c r="H680" s="94">
        <f>IFERROR(VLOOKUP($B680,'Aktuelle Einnahmen'!A2:G104,7,0),"")</f>
        <v>0</v>
      </c>
      <c r="I680" s="186" t="e">
        <f>DATE(H680,G680,F680)</f>
        <v>#NUM!</v>
      </c>
      <c r="J680" s="472">
        <f ca="1">J670</f>
        <v>45475</v>
      </c>
      <c r="K680" s="506" t="str">
        <f t="shared" si="231"/>
        <v>+Inflat.-P</v>
      </c>
      <c r="L680" s="1262" t="str">
        <f>IFERROR(VLOOKUP(B680,'Aktuelle Einnahmen'!A22:I124,9,0),"")</f>
        <v>Auswahl treffen</v>
      </c>
      <c r="M680" s="1263"/>
      <c r="N680" s="261"/>
      <c r="O680" s="261"/>
      <c r="P680" s="261"/>
      <c r="Q680" s="261"/>
      <c r="R680" s="189"/>
      <c r="S680" s="190"/>
      <c r="T680" s="190"/>
      <c r="U680" s="191"/>
      <c r="V680" s="192"/>
      <c r="W680" s="190"/>
      <c r="X680" s="190"/>
      <c r="Y680" s="191"/>
      <c r="Z680" s="192"/>
      <c r="AA680" s="190"/>
      <c r="AB680" s="190"/>
      <c r="AC680" s="191"/>
      <c r="AD680" s="192"/>
      <c r="AE680" s="190"/>
      <c r="AF680" s="190"/>
      <c r="AG680" s="191"/>
      <c r="AH680" s="193"/>
      <c r="AI680" s="190"/>
      <c r="AJ680" s="190"/>
      <c r="AK680" s="374"/>
      <c r="AL680" s="348"/>
      <c r="AM680" s="354"/>
      <c r="AN680" s="354"/>
      <c r="AO680" s="354"/>
      <c r="AP680" s="354"/>
      <c r="AQ680" s="350"/>
      <c r="AR680" s="769"/>
      <c r="AS680" s="769"/>
      <c r="AT680" s="769"/>
      <c r="BM680" s="335"/>
    </row>
    <row r="681" spans="1:65" ht="22.25" customHeight="1">
      <c r="A681" s="181">
        <f t="shared" si="227"/>
        <v>45292</v>
      </c>
      <c r="B681" s="484" t="e">
        <f>DAY(I680)</f>
        <v>#NUM!</v>
      </c>
      <c r="C681" s="489" t="s">
        <v>158</v>
      </c>
      <c r="D681" s="520" t="e">
        <f>(I681*4)+J681/3+1</f>
        <v>#NUM!</v>
      </c>
      <c r="E681" s="194" t="e">
        <f>J683+1</f>
        <v>#NUM!</v>
      </c>
      <c r="F681" s="195" t="e">
        <f t="shared" ref="F681:F688" si="238">DAY(E681)</f>
        <v>#NUM!</v>
      </c>
      <c r="G681" s="196" t="e">
        <f t="shared" ref="G681:G688" si="239">MONTH(E681)</f>
        <v>#NUM!</v>
      </c>
      <c r="H681" s="195" t="e">
        <f t="shared" ref="H681:H688" si="240">YEAR(E681)</f>
        <v>#NUM!</v>
      </c>
      <c r="I681" s="197" t="e">
        <f>H681-(H680+2000)</f>
        <v>#NUM!</v>
      </c>
      <c r="J681" s="198" t="e">
        <f>G681-G680</f>
        <v>#NUM!</v>
      </c>
      <c r="K681" s="506" t="str">
        <f>L679</f>
        <v/>
      </c>
      <c r="L681" s="469"/>
      <c r="M681" s="473" t="e">
        <f ca="1">SUM(J680-E682)&amp;" Tage"</f>
        <v>#NUM!</v>
      </c>
      <c r="N681" s="206"/>
      <c r="O681" s="201"/>
      <c r="P681" s="201"/>
      <c r="Q681" s="202"/>
      <c r="R681" s="189"/>
      <c r="S681" s="203"/>
      <c r="T681" s="203"/>
      <c r="U681" s="204"/>
      <c r="V681" s="192"/>
      <c r="W681" s="203"/>
      <c r="X681" s="203"/>
      <c r="Y681" s="204"/>
      <c r="Z681" s="192"/>
      <c r="AA681" s="203"/>
      <c r="AB681" s="203"/>
      <c r="AC681" s="204"/>
      <c r="AD681" s="192"/>
      <c r="AE681" s="203"/>
      <c r="AF681" s="203"/>
      <c r="AG681" s="204"/>
      <c r="AH681" s="193"/>
      <c r="AI681" s="203"/>
      <c r="AJ681" s="203"/>
      <c r="AK681" s="375"/>
      <c r="AL681" s="348"/>
      <c r="AM681" s="354"/>
      <c r="AN681" s="354"/>
      <c r="AO681" s="354"/>
      <c r="AP681" s="354"/>
      <c r="AQ681" s="350"/>
      <c r="AR681" s="769"/>
      <c r="AS681" s="769"/>
      <c r="AT681" s="769"/>
      <c r="BM681" s="335"/>
    </row>
    <row r="682" spans="1:65" ht="22.25" customHeight="1">
      <c r="A682" s="181">
        <f t="shared" si="227"/>
        <v>45292</v>
      </c>
      <c r="B682" s="485"/>
      <c r="C682" s="490"/>
      <c r="D682" s="521"/>
      <c r="E682" s="194" t="e">
        <f>DATE(YEAR(E681),MONTH(E681)+3,DAY(E681)-1)</f>
        <v>#NUM!</v>
      </c>
      <c r="F682" s="195" t="e">
        <f t="shared" si="238"/>
        <v>#NUM!</v>
      </c>
      <c r="G682" s="196" t="e">
        <f t="shared" si="239"/>
        <v>#NUM!</v>
      </c>
      <c r="H682" s="195" t="e">
        <f t="shared" si="240"/>
        <v>#NUM!</v>
      </c>
      <c r="I682" s="244">
        <v>-1</v>
      </c>
      <c r="J682" s="198" t="e">
        <f>F681-F680</f>
        <v>#NUM!</v>
      </c>
      <c r="K682" s="506" t="str">
        <f t="shared" si="231"/>
        <v>+Inflat.-P</v>
      </c>
      <c r="L682" s="511" t="e">
        <f>IF(M679="Stufe A",IF(AND(L680="Auswahl treffen",D681&gt;=0,D681&lt;=1000),J679,IF(AND(L680="Vermögend und ambulant",D681&gt;8,D681&lt;=1000),130,IF(AND(L680="Vermögend und ambulant",D681&gt;4,D681&lt;=8),158,IF(AND(L680="Vermögend und ambulant",D681&gt;2,D681&lt;=4),192,IF(AND(L680="Vermögend und ambulant",D681&gt;1,D681&lt;=2),208,IF(AND(L680="Vermögend und ambulant",D681&gt;0,D681&lt;=1),298,IF(AND(L680="Vermögend und stationär",D681&gt;8,D681&lt;=1000),78,IF(AND(L680="Vermögend und stationär",D681&gt;4,D681&lt;=8),91,IF(AND(L680="Vermögend und stationär",D681&gt;2,D681&lt;=4),140,IF(AND(L680="Vermögend und stationär",D681&gt;1,D681&lt;=2),158,IF(AND(L680="Vermögend und stationär",D681&gt;0,D681&lt;=1),200,IF(AND(L680="Mittellos und ambulant",D681&gt;8,D681&lt;=1000),105,IF(AND(L680="Mittellos und ambulant",D681&gt;4,D681&lt;=8),122,IF(AND(L680="Mittellos und ambulant",D681&gt;2,D681&lt;=4),151,IF(AND(L680="Mittellos und ambulant",D681&gt;1,D681&lt;=2),170,IF(AND(L680="Mittellos und ambulant",D681&gt;0,D681&lt;=1),208,IF(AND(L680="Mittellos und stationär",D681&gt;8,D681&lt;=1000),62,IF(AND(L680="Mittellos und stationär",D681&gt;4,D681&lt;=8),87,IF(AND(L680="Mittellos und stationär",D681&gt;2,D681&lt;=4),124,IF(AND(L680="Mittellos und stationär",D681&gt;1,D681&lt;=2),129,IF(AND(L680="Mittellos und stationär",D681&gt;0,D681&lt;=1),194,""))))))))))))))))))))),IF(M679="Stufe B",IF(AND(L680="Auswahl treffen",D681&gt;=0,D681&lt;=1000),J679,IF(AND(L680="Vermögend und ambulant",D681&gt;8,D681&lt;=1000),161,IF(AND(L680="Vermögend und ambulant",D681&gt;4,D681&lt;=8),196,IF(AND(L680="Vermögend und ambulant",D681&gt;2,D681&lt;=4),238,IF(AND(L680="Vermögend und ambulant",D681&gt;1,D681&lt;=2),258,IF(AND(L680="Vermögend und ambulant",D681&gt;0,D681&lt;=1),370,IF(AND(L680="Vermögend und stationär",D681&gt;8,D681&lt;=1000),96,IF(AND(L680="Vermögend und stationär",D681&gt;4,D681&lt;=8),113,IF(AND(L680="Vermögend und stationär",D681&gt;2,D681&lt;=4),174,IF(AND(L680="Vermögend und stationär",D681&gt;1,D681&lt;=2),196,IF(AND(L680="Vermögend und stationär",D681&gt;0,D681&lt;=1),249,IF(AND(L680="Mittellos und ambulant",D681&gt;8,D681&lt;=1000),130,IF(AND(L680="Mittellos und ambulant",D681&gt;4,D681&lt;=8),151,IF(AND(L680="Mittellos und ambulant",D681&gt;2,D681&lt;=4),188,IF(AND(L680="Mittellos und ambulant",D681&gt;1,D681&lt;=2),211,IF(AND(L680="Mittellos und ambulant",D681&gt;0,D681&lt;=1),258,IF(AND(L680="Mittellos und stationär",D681&gt;8,D681&lt;=1000),78,IF(AND(L680="Mittellos und stationär",D681&gt;4,D681&lt;=8),107,IF(AND(L680="Mittellos und stationär",D681&gt;2,D681&lt;=4),154,IF(AND(L680="Mittellos und stationär",D681&gt;1,D681&lt;=2),158,IF(AND(L680="Mittellos und stationär",D681&gt;0,D681&lt;=1),241,""))))))))))))))))))))),IF(M679="Stufe C",IF(AND(L680="Auswahl treffen",D681&gt;=0,D681&lt;=1000),J679,IF(AND(L680="Vermögend und ambulant",D681&gt;8,D681&lt;=1000),211,IF(AND(L680="Vermögend und ambulant",D681&gt;4,D681&lt;=8),257,IF(AND(L680="Vermögend und ambulant",D681&gt;2,D681&lt;=4),312,IF(AND(L680="Vermögend und ambulant",D681&gt;1,D681&lt;=2),339,IF(AND(L680="Vermögend und ambulant",D681&gt;0,D681&lt;=1),486,IF(AND(L680="Vermögend und stationär",D681&gt;8,D681&lt;=1000),127,IF(AND(L680="Vermögend und stationär",D681&gt;4,D681&lt;=8),149,IF(AND(L680="Vermögend und stationär",D681&gt;2,D681&lt;=4),229,IF(AND(L680="Vermögend und stationär",D681&gt;1,D681&lt;=2),257,IF(AND(L680="Vermögend und stationär",D681&gt;0,D681&lt;=1),327,IF(AND(L680="Mittellos und ambulant",D681&gt;8,D681&lt;=1000),171,IF(AND(L680="Mittellos und ambulant",D681&gt;4,D681&lt;=8),198,IF(AND(L680="Mittellos und ambulant",D681&gt;2,D681&lt;=4),246,IF(AND(L680="Mittellos und ambulant",D681&gt;1,D681&lt;=2),277,IF(AND(L680="Mittellos und ambulant",D681&gt;0,D681&lt;=1),339,IF(AND(L680="Mittellos und stationär",D681&gt;8,D681&lt;=1000),102,IF(AND(L680="Mittellos und stationär",D681&gt;4,D681&lt;=8),141,IF(AND(L680="Mittellos und stationär",D681&gt;2,D681&lt;=4),202,IF(AND(L680="Mittellos und stationär",D681&gt;1,D681&lt;=2),208,IF(AND(L680="Mittellos und stationär",D681&gt;0,D681&lt;=1),317,""))))))))))))))))))))),"")))*3+(J679*90)</f>
        <v>#NUM!</v>
      </c>
      <c r="M682" s="507" t="str">
        <f>CONCATENATE(K682, K681)</f>
        <v>+Inflat.-P</v>
      </c>
      <c r="N682" s="206" t="s">
        <v>118</v>
      </c>
      <c r="O682" s="207"/>
      <c r="P682" s="207"/>
      <c r="Q682" s="208"/>
      <c r="R682" s="187"/>
      <c r="S682" s="209" t="s">
        <v>118</v>
      </c>
      <c r="T682" s="201" t="s">
        <v>117</v>
      </c>
      <c r="U682" s="210" t="s">
        <v>26</v>
      </c>
      <c r="V682" s="192"/>
      <c r="W682" s="203"/>
      <c r="X682" s="203"/>
      <c r="Y682" s="210"/>
      <c r="Z682" s="192"/>
      <c r="AA682" s="203"/>
      <c r="AB682" s="203"/>
      <c r="AC682" s="210"/>
      <c r="AD682" s="192"/>
      <c r="AE682" s="203"/>
      <c r="AF682" s="203"/>
      <c r="AG682" s="210"/>
      <c r="AH682" s="193"/>
      <c r="AI682" s="203"/>
      <c r="AJ682" s="203"/>
      <c r="AK682" s="376"/>
      <c r="AL682" s="348" t="s">
        <v>148</v>
      </c>
      <c r="AM682" s="354">
        <f>IF(SUM(N680:N688)=SUM(S680:S688), 0, SUM(N680:N688)-SUM(S680:S688))</f>
        <v>0</v>
      </c>
      <c r="AN682" s="354"/>
      <c r="AO682" s="354"/>
      <c r="AP682" s="354"/>
      <c r="AQ682" s="350">
        <f>AM682+AN682+AO682+AP682</f>
        <v>0</v>
      </c>
      <c r="AR682" s="769"/>
      <c r="AS682" s="769"/>
      <c r="AT682" s="769"/>
      <c r="BM682" s="335"/>
    </row>
    <row r="683" spans="1:65" ht="22.25" customHeight="1">
      <c r="A683" s="181">
        <f t="shared" si="227"/>
        <v>45292</v>
      </c>
      <c r="B683" s="484" t="e">
        <f>MONTH(I680)</f>
        <v>#NUM!</v>
      </c>
      <c r="C683" s="489" t="s">
        <v>158</v>
      </c>
      <c r="D683" s="522" t="e">
        <f>D681+1</f>
        <v>#NUM!</v>
      </c>
      <c r="E683" s="211" t="e">
        <f>DATE(YEAR(E682),MONTH(E682),DAY(E682)+1)</f>
        <v>#NUM!</v>
      </c>
      <c r="F683" s="212" t="e">
        <f t="shared" si="238"/>
        <v>#NUM!</v>
      </c>
      <c r="G683" s="213" t="e">
        <f t="shared" si="239"/>
        <v>#NUM!</v>
      </c>
      <c r="H683" s="212" t="e">
        <f t="shared" si="240"/>
        <v>#NUM!</v>
      </c>
      <c r="I683" s="214" t="str">
        <f>IF(D680&lt;&gt;0,"-1T","")</f>
        <v/>
      </c>
      <c r="J683" s="215" t="e">
        <f>DATE($B685,I684,$B681)</f>
        <v>#NUM!</v>
      </c>
      <c r="K683" s="501" t="str">
        <f t="shared" si="231"/>
        <v/>
      </c>
      <c r="L683" s="470"/>
      <c r="M683" s="473" t="e">
        <f ca="1">SUM(J680-E684)&amp;" Tage"</f>
        <v>#NUM!</v>
      </c>
      <c r="N683" s="216"/>
      <c r="O683" s="217"/>
      <c r="P683" s="188"/>
      <c r="Q683" s="217"/>
      <c r="R683" s="189"/>
      <c r="S683" s="190"/>
      <c r="T683" s="190"/>
      <c r="U683" s="191"/>
      <c r="V683" s="192"/>
      <c r="W683" s="190"/>
      <c r="X683" s="190"/>
      <c r="Y683" s="191"/>
      <c r="Z683" s="192"/>
      <c r="AA683" s="190"/>
      <c r="AB683" s="190"/>
      <c r="AC683" s="191"/>
      <c r="AD683" s="192"/>
      <c r="AE683" s="190"/>
      <c r="AF683" s="190"/>
      <c r="AG683" s="191"/>
      <c r="AH683" s="193"/>
      <c r="AI683" s="190"/>
      <c r="AJ683" s="190"/>
      <c r="AK683" s="374"/>
      <c r="AL683" s="348"/>
      <c r="AM683" s="354"/>
      <c r="AN683" s="354"/>
      <c r="AO683" s="354"/>
      <c r="AP683" s="354"/>
      <c r="AQ683" s="350"/>
      <c r="AR683" s="769"/>
      <c r="AS683" s="769"/>
      <c r="AT683" s="769"/>
      <c r="BM683" s="335"/>
    </row>
    <row r="684" spans="1:65" ht="22.25" customHeight="1">
      <c r="A684" s="181">
        <f t="shared" si="227"/>
        <v>45292</v>
      </c>
      <c r="B684" s="485"/>
      <c r="C684" s="490"/>
      <c r="D684" s="521"/>
      <c r="E684" s="218" t="e">
        <f>DATE(YEAR(E683),MONTH(E683)+3,DAY(E683)-1)</f>
        <v>#NUM!</v>
      </c>
      <c r="F684" s="212" t="e">
        <f t="shared" si="238"/>
        <v>#NUM!</v>
      </c>
      <c r="G684" s="213" t="e">
        <f t="shared" si="239"/>
        <v>#NUM!</v>
      </c>
      <c r="H684" s="212" t="e">
        <f t="shared" si="240"/>
        <v>#NUM!</v>
      </c>
      <c r="I684" s="219">
        <f>MAX(I685:I688)</f>
        <v>9</v>
      </c>
      <c r="J684" s="220" t="e">
        <f>DATE(YEAR(J683)+1,MONTH(J683),DAY(J683))</f>
        <v>#NUM!</v>
      </c>
      <c r="K684" s="501" t="str">
        <f t="shared" si="231"/>
        <v>+Inflat.-P</v>
      </c>
      <c r="L684" s="508" t="e">
        <f>IF(M679="Stufe A",IF(AND(L680="Auswahl treffen",D683&gt;=0,D683&lt;=1000),J679,IF(AND(L680="Vermögend und ambulant",D683&gt;8,D683&lt;=1000),130,IF(AND(L680="Vermögend und ambulant",D683&gt;4,D683&lt;=8),158,IF(AND(L680="Vermögend und ambulant",D683&gt;2,D683&lt;=4),192,IF(AND(L680="Vermögend und ambulant",D683&gt;1,D683&lt;=2),208,IF(AND(L680="Vermögend und ambulant",D683&gt;0,D683&lt;=1),298,IF(AND(L680="Vermögend und stationär",D683&gt;8,D683&lt;=1000),78,IF(AND(L680="Vermögend und stationär",D683&gt;4,D683&lt;=8),91,IF(AND(L680="Vermögend und stationär",D683&gt;2,D683&lt;=4),140,IF(AND(L680="Vermögend und stationär",D683&gt;1,D683&lt;=2),158,IF(AND(L680="Vermögend und stationär",D683&gt;0,D683&lt;=1),200,IF(AND(L680="Mittellos und ambulant",D683&gt;8,D683&lt;=1000),105,IF(AND(L680="Mittellos und ambulant",D683&gt;4,D683&lt;=8),122,IF(AND(L680="Mittellos und ambulant",D683&gt;2,D683&lt;=4),151,IF(AND(L680="Mittellos und ambulant",D683&gt;1,D683&lt;=2),170,IF(AND(L680="Mittellos und ambulant",D683&gt;0,D683&lt;=1),208,IF(AND(L680="Mittellos und stationär",D683&gt;8,D683&lt;=1000),62,IF(AND(L680="Mittellos und stationär",D683&gt;4,D683&lt;=8),87,IF(AND(L680="Mittellos und stationär",D683&gt;2,D683&lt;=4),124,IF(AND(L680="Mittellos und stationär",D683&gt;1,D683&lt;=2),129,IF(AND(L680="Mittellos und stationär",D683&gt;0,D683&lt;=1),194,""))))))))))))))))))))),IF(M679="Stufe B",IF(AND(L680="Auswahl treffen",D683&gt;=0,D683&lt;=1000),J679,IF(AND(L680="Vermögend und ambulant",D683&gt;8,D683&lt;=1000),161,IF(AND(L680="Vermögend und ambulant",D683&gt;4,D683&lt;=8),196,IF(AND(L680="Vermögend und ambulant",D683&gt;2,D683&lt;=4),238,IF(AND(L680="Vermögend und ambulant",D683&gt;1,D683&lt;=2),258,IF(AND(L680="Vermögend und ambulant",D683&gt;0,D683&lt;=1),370,IF(AND(L680="Vermögend und stationär",D683&gt;8,D683&lt;=1000),96,IF(AND(L680="Vermögend und stationär",D683&gt;4,D683&lt;=8),113,IF(AND(L680="Vermögend und stationär",D683&gt;2,D683&lt;=4),174,IF(AND(L680="Vermögend und stationär",D683&gt;1,D683&lt;=2),196,IF(AND(L680="Vermögend und stationär",D683&gt;0,D683&lt;=1),249,IF(AND(L680="Mittellos und ambulant",D683&gt;8,D683&lt;=1000),130,IF(AND(L680="Mittellos und ambulant",D683&gt;4,D683&lt;=8),151,IF(AND(L680="Mittellos und ambulant",D683&gt;2,D683&lt;=4),188,IF(AND(L680="Mittellos und ambulant",D683&gt;1,D683&lt;=2),211,IF(AND(L680="Mittellos und ambulant",D683&gt;0,D683&lt;=1),258,IF(AND(L680="Mittellos und stationär",D683&gt;8,D683&lt;=1000),78,IF(AND(L680="Mittellos und stationär",D683&gt;4,D683&lt;=8),107,IF(AND(L680="Mittellos und stationär",D683&gt;2,D683&lt;=4),154,IF(AND(L680="Mittellos und stationär",D683&gt;1,D683&lt;=2),158,IF(AND(L680="Mittellos und stationär",D683&gt;0,D683&lt;=1),241,""))))))))))))))))))))),IF(M679="Stufe C",IF(AND(L680="Auswahl treffen",D683&gt;=0,D683&lt;=1000),J679,IF(AND(L680="Vermögend und ambulant",D683&gt;8,D683&lt;=1000),211,IF(AND(L680="Vermögend und ambulant",D683&gt;4,D683&lt;=8),257,IF(AND(L680="Vermögend und ambulant",D683&gt;2,D683&lt;=4),312,IF(AND(L680="Vermögend und ambulant",D683&gt;1,D683&lt;=2),339,IF(AND(L680="Vermögend und ambulant",D683&gt;0,D683&lt;=1),486,IF(AND(L680="Vermögend und stationär",D683&gt;8,D683&lt;=1000),127,IF(AND(L680="Vermögend und stationär",D683&gt;4,D683&lt;=8),149,IF(AND(L680="Vermögend und stationär",D683&gt;2,D683&lt;=4),229,IF(AND(L680="Vermögend und stationär",D683&gt;1,D683&lt;=2),257,IF(AND(L680="Vermögend und stationär",D683&gt;0,D683&lt;=1),327,IF(AND(L680="Mittellos und ambulant",D683&gt;8,D683&lt;=1000),171,IF(AND(L680="Mittellos und ambulant",D683&gt;4,D683&lt;=8),198,IF(AND(L680="Mittellos und ambulant",D683&gt;2,D683&lt;=4),246,IF(AND(L680="Mittellos und ambulant",D683&gt;1,D683&lt;=2),277,IF(AND(L680="Mittellos und ambulant",D683&gt;0,D683&lt;=1),339,IF(AND(L680="Mittellos und stationär",D683&gt;8,D683&lt;=1000),102,IF(AND(L680="Mittellos und stationär",D683&gt;4,D683&lt;=8),141,IF(AND(L680="Mittellos und stationär",D683&gt;2,D683&lt;=4),202,IF(AND(L680="Mittellos und stationär",D683&gt;1,D683&lt;=2),208,IF(AND(L680="Mittellos und stationär",D683&gt;0,D683&lt;=1),317,""))))))))))))))))))))),"")))*3+(J679*90)</f>
        <v>#NUM!</v>
      </c>
      <c r="M684" s="507" t="str">
        <f>CONCATENATE(K684, K683)</f>
        <v>+Inflat.-P</v>
      </c>
      <c r="N684" s="216"/>
      <c r="O684" s="188" t="s">
        <v>118</v>
      </c>
      <c r="P684" s="188"/>
      <c r="Q684" s="221"/>
      <c r="R684" s="199"/>
      <c r="S684" s="190"/>
      <c r="T684" s="190"/>
      <c r="U684" s="191"/>
      <c r="V684" s="192"/>
      <c r="W684" s="222" t="s">
        <v>118</v>
      </c>
      <c r="X684" s="222" t="s">
        <v>117</v>
      </c>
      <c r="Y684" s="191" t="s">
        <v>26</v>
      </c>
      <c r="Z684" s="192"/>
      <c r="AA684" s="190"/>
      <c r="AB684" s="190"/>
      <c r="AC684" s="191"/>
      <c r="AD684" s="192"/>
      <c r="AE684" s="190"/>
      <c r="AF684" s="190"/>
      <c r="AG684" s="191"/>
      <c r="AH684" s="193"/>
      <c r="AI684" s="190"/>
      <c r="AJ684" s="190"/>
      <c r="AK684" s="374"/>
      <c r="AL684" s="348" t="s">
        <v>149</v>
      </c>
      <c r="AM684" s="354"/>
      <c r="AN684" s="354">
        <f>IF(SUM(O680:O688)=SUM(W680:W688), 0, SUM(O680:O688)-SUM(W680:W688))</f>
        <v>0</v>
      </c>
      <c r="AO684" s="354"/>
      <c r="AP684" s="354"/>
      <c r="AQ684" s="350">
        <f>AM684+AN684+AO684+AP684</f>
        <v>0</v>
      </c>
      <c r="AR684" s="769"/>
      <c r="AS684" s="769"/>
      <c r="AT684" s="769"/>
      <c r="BM684" s="335"/>
    </row>
    <row r="685" spans="1:65" ht="22.25" customHeight="1">
      <c r="A685" s="181">
        <f t="shared" si="227"/>
        <v>45292</v>
      </c>
      <c r="B685" s="484">
        <f>YEAR($A686)-1</f>
        <v>2023</v>
      </c>
      <c r="C685" s="489" t="s">
        <v>158</v>
      </c>
      <c r="D685" s="520" t="e">
        <f>D683+1</f>
        <v>#NUM!</v>
      </c>
      <c r="E685" s="194" t="e">
        <f>DATE(YEAR(E684),MONTH(E684),DAY(E684)+1)</f>
        <v>#NUM!</v>
      </c>
      <c r="F685" s="195" t="e">
        <f t="shared" si="238"/>
        <v>#NUM!</v>
      </c>
      <c r="G685" s="196" t="e">
        <f t="shared" si="239"/>
        <v>#NUM!</v>
      </c>
      <c r="H685" s="195" t="e">
        <f t="shared" si="240"/>
        <v>#NUM!</v>
      </c>
      <c r="I685" s="197">
        <f>IF(J687&lt;13,J687,"")</f>
        <v>9</v>
      </c>
      <c r="J685" s="224">
        <f>G680</f>
        <v>0</v>
      </c>
      <c r="K685" s="506" t="str">
        <f t="shared" si="231"/>
        <v/>
      </c>
      <c r="L685" s="471"/>
      <c r="M685" s="473" t="e">
        <f ca="1">SUM(J680-E686)&amp;" Tage"</f>
        <v>#NUM!</v>
      </c>
      <c r="N685" s="200"/>
      <c r="O685" s="201"/>
      <c r="P685" s="201"/>
      <c r="Q685" s="202"/>
      <c r="R685" s="189"/>
      <c r="S685" s="203"/>
      <c r="T685" s="203"/>
      <c r="U685" s="204"/>
      <c r="V685" s="192"/>
      <c r="W685" s="203"/>
      <c r="X685" s="203"/>
      <c r="Y685" s="204"/>
      <c r="Z685" s="192"/>
      <c r="AA685" s="203"/>
      <c r="AB685" s="203"/>
      <c r="AC685" s="204"/>
      <c r="AD685" s="192"/>
      <c r="AE685" s="203"/>
      <c r="AF685" s="203"/>
      <c r="AG685" s="204"/>
      <c r="AH685" s="193"/>
      <c r="AI685" s="203"/>
      <c r="AJ685" s="203"/>
      <c r="AK685" s="375"/>
      <c r="AL685" s="348"/>
      <c r="AM685" s="354"/>
      <c r="AN685" s="354"/>
      <c r="AO685" s="354"/>
      <c r="AP685" s="354"/>
      <c r="AQ685" s="350"/>
      <c r="AR685" s="769"/>
      <c r="AS685" s="769"/>
      <c r="AT685" s="769"/>
      <c r="BM685" s="335"/>
    </row>
    <row r="686" spans="1:65" ht="22.25" customHeight="1">
      <c r="A686" s="181">
        <f t="shared" si="227"/>
        <v>45292</v>
      </c>
      <c r="B686" s="485"/>
      <c r="C686" s="490"/>
      <c r="D686" s="521"/>
      <c r="E686" s="194" t="e">
        <f>DATE(YEAR(E685),MONTH(E685)+3,DAY(E685)-1)</f>
        <v>#NUM!</v>
      </c>
      <c r="F686" s="195" t="e">
        <f t="shared" si="238"/>
        <v>#NUM!</v>
      </c>
      <c r="G686" s="196" t="e">
        <f t="shared" si="239"/>
        <v>#NUM!</v>
      </c>
      <c r="H686" s="195" t="e">
        <f t="shared" si="240"/>
        <v>#NUM!</v>
      </c>
      <c r="I686" s="244">
        <f>IF(J688&lt;13,J688,"")</f>
        <v>6</v>
      </c>
      <c r="J686" s="224">
        <f>J685+3</f>
        <v>3</v>
      </c>
      <c r="K686" s="501" t="str">
        <f t="shared" si="231"/>
        <v>+Inflat.-P</v>
      </c>
      <c r="L686" s="511" t="e">
        <f>IF(M679="Stufe A",IF(AND(L680="Auswahl treffen",D685&gt;=0,D685&lt;=1000),J679,IF(AND(L680="Vermögend und ambulant",D685&gt;8,D685&lt;=1000),130,IF(AND(L680="Vermögend und ambulant",D685&gt;4,D685&lt;=8),158,IF(AND(L680="Vermögend und ambulant",D685&gt;2,D685&lt;=4),192,IF(AND(L680="Vermögend und ambulant",D685&gt;1,D685&lt;=2),208,IF(AND(L680="Vermögend und ambulant",D685&gt;0,D685&lt;=1),298,IF(AND(L680="Vermögend und stationär",D685&gt;8,D685&lt;=1000),78,IF(AND(L680="Vermögend und stationär",D685&gt;4,D685&lt;=8),91,IF(AND(L680="Vermögend und stationär",D685&gt;2,D685&lt;=4),140,IF(AND(L680="Vermögend und stationär",D685&gt;1,D685&lt;=2),158,IF(AND(L680="Vermögend und stationär",D685&gt;0,D685&lt;=1),200,IF(AND(L680="Mittellos und ambulant",D685&gt;8,D685&lt;=1000),105,IF(AND(L680="Mittellos und ambulant",D685&gt;4,D685&lt;=8),122,IF(AND(L680="Mittellos und ambulant",D685&gt;2,D685&lt;=4),151,IF(AND(L680="Mittellos und ambulant",D685&gt;1,D685&lt;=2),170,IF(AND(L680="Mittellos und ambulant",D685&gt;0,D685&lt;=1),208,IF(AND(L680="Mittellos und stationär",D685&gt;8,D685&lt;=1000),62,IF(AND(L680="Mittellos und stationär",D685&gt;4,D685&lt;=8),87,IF(AND(L680="Mittellos und stationär",D685&gt;2,D685&lt;=4),124,IF(AND(L680="Mittellos und stationär",D685&gt;1,D685&lt;=2),129,IF(AND(L680="Mittellos und stationär",D685&gt;0,D685&lt;=1),194,""))))))))))))))))))))),IF(M679="Stufe B",IF(AND(L680="Auswahl treffen",D685&gt;=0,D685&lt;=1000),J679,IF(AND(L680="Vermögend und ambulant",D685&gt;8,D685&lt;=1000),161,IF(AND(L680="Vermögend und ambulant",D685&gt;4,D685&lt;=8),196,IF(AND(L680="Vermögend und ambulant",D685&gt;2,D685&lt;=4),238,IF(AND(L680="Vermögend und ambulant",D685&gt;1,D685&lt;=2),258,IF(AND(L680="Vermögend und ambulant",D685&gt;0,D685&lt;=1),370,IF(AND(L680="Vermögend und stationär",D685&gt;8,D685&lt;=1000),96,IF(AND(L680="Vermögend und stationär",D685&gt;4,D685&lt;=8),113,IF(AND(L680="Vermögend und stationär",D685&gt;2,D685&lt;=4),174,IF(AND(L680="Vermögend und stationär",D685&gt;1,D685&lt;=2),196,IF(AND(L680="Vermögend und stationär",D685&gt;0,D685&lt;=1),249,IF(AND(L680="Mittellos und ambulant",D685&gt;8,D685&lt;=1000),130,IF(AND(L680="Mittellos und ambulant",D685&gt;4,D685&lt;=8),151,IF(AND(L680="Mittellos und ambulant",D685&gt;2,D685&lt;=4),188,IF(AND(L680="Mittellos und ambulant",D685&gt;1,D685&lt;=2),211,IF(AND(L680="Mittellos und ambulant",D685&gt;0,D685&lt;=1),258,IF(AND(L680="Mittellos und stationär",D685&gt;8,D685&lt;=1000),78,IF(AND(L680="Mittellos und stationär",D685&gt;4,D685&lt;=8),107,IF(AND(L680="Mittellos und stationär",D685&gt;2,D685&lt;=4),154,IF(AND(L680="Mittellos und stationär",D685&gt;1,D685&lt;=2),158,IF(AND(L680="Mittellos und stationär",D685&gt;0,D685&lt;=1),241,""))))))))))))))))))))),IF(M679="Stufe C",IF(AND(L680="Auswahl treffen",D685&gt;=0,D685&lt;=1000),J679,IF(AND(L680="Vermögend und ambulant",D685&gt;8,D685&lt;=1000),211,IF(AND(L680="Vermögend und ambulant",D685&gt;4,D685&lt;=8),257,IF(AND(L680="Vermögend und ambulant",D685&gt;2,D685&lt;=4),312,IF(AND(L680="Vermögend und ambulant",D685&gt;1,D685&lt;=2),339,IF(AND(L680="Vermögend und ambulant",D685&gt;0,D685&lt;=1),486,IF(AND(L680="Vermögend und stationär",D685&gt;8,D685&lt;=1000),127,IF(AND(L680="Vermögend und stationär",D685&gt;4,D685&lt;=8),149,IF(AND(L680="Vermögend und stationär",D685&gt;2,D685&lt;=4),229,IF(AND(L680="Vermögend und stationär",D685&gt;1,D685&lt;=2),257,IF(AND(L680="Vermögend und stationär",D685&gt;0,D685&lt;=1),327,IF(AND(L680="Mittellos und ambulant",D685&gt;8,D685&lt;=1000),171,IF(AND(L680="Mittellos und ambulant",D685&gt;4,D685&lt;=8),198,IF(AND(L680="Mittellos und ambulant",D685&gt;2,D685&lt;=4),246,IF(AND(L680="Mittellos und ambulant",D685&gt;1,D685&lt;=2),277,IF(AND(L680="Mittellos und ambulant",D685&gt;0,D685&lt;=1),339,IF(AND(L680="Mittellos und stationär",D685&gt;8,D685&lt;=1000),102,IF(AND(L680="Mittellos und stationär",D685&gt;4,D685&lt;=8),141,IF(AND(L680="Mittellos und stationär",D685&gt;2,D685&lt;=4),202,IF(AND(L680="Mittellos und stationär",D685&gt;1,D685&lt;=2),208,IF(AND(L680="Mittellos und stationär",D685&gt;0,D685&lt;=1),317,""))))))))))))))))))))),"")))*3+(J679*90)</f>
        <v>#NUM!</v>
      </c>
      <c r="M686" s="507" t="str">
        <f>CONCATENATE(K686, K685)</f>
        <v>+Inflat.-P</v>
      </c>
      <c r="N686" s="206"/>
      <c r="O686" s="207"/>
      <c r="P686" s="206" t="s">
        <v>118</v>
      </c>
      <c r="Q686" s="226"/>
      <c r="R686" s="189"/>
      <c r="S686" s="203"/>
      <c r="T686" s="203"/>
      <c r="U686" s="204"/>
      <c r="V686" s="192"/>
      <c r="W686" s="203"/>
      <c r="X686" s="203"/>
      <c r="Y686" s="204"/>
      <c r="Z686" s="192"/>
      <c r="AA686" s="209" t="s">
        <v>118</v>
      </c>
      <c r="AB686" s="209" t="s">
        <v>117</v>
      </c>
      <c r="AC686" s="204" t="s">
        <v>26</v>
      </c>
      <c r="AD686" s="192"/>
      <c r="AE686" s="203"/>
      <c r="AF686" s="203"/>
      <c r="AG686" s="204"/>
      <c r="AH686" s="193"/>
      <c r="AI686" s="203"/>
      <c r="AJ686" s="203"/>
      <c r="AK686" s="375"/>
      <c r="AL686" s="348" t="s">
        <v>150</v>
      </c>
      <c r="AM686" s="354"/>
      <c r="AN686" s="354"/>
      <c r="AO686" s="354">
        <f>IF(SUM(P680:P688)=SUM(AA680:AA688), 0, SUM(P680:P688)-SUM(AA680:AA688))</f>
        <v>0</v>
      </c>
      <c r="AP686" s="354"/>
      <c r="AQ686" s="350">
        <f>AM686+AN686+AO686+AP686</f>
        <v>0</v>
      </c>
      <c r="AR686" s="769"/>
      <c r="AS686" s="769"/>
      <c r="AT686" s="769"/>
      <c r="BM686" s="335"/>
    </row>
    <row r="687" spans="1:65" ht="22.25" customHeight="1">
      <c r="A687" s="181">
        <f t="shared" si="227"/>
        <v>45292</v>
      </c>
      <c r="B687" s="486"/>
      <c r="C687" s="489" t="s">
        <v>158</v>
      </c>
      <c r="D687" s="522" t="e">
        <f>D685+1</f>
        <v>#NUM!</v>
      </c>
      <c r="E687" s="211" t="e">
        <f>DATE(YEAR(E686),MONTH(E686),DAY(E686)+1)</f>
        <v>#NUM!</v>
      </c>
      <c r="F687" s="227" t="e">
        <f t="shared" si="238"/>
        <v>#NUM!</v>
      </c>
      <c r="G687" s="228" t="e">
        <f t="shared" si="239"/>
        <v>#NUM!</v>
      </c>
      <c r="H687" s="227" t="e">
        <f t="shared" si="240"/>
        <v>#NUM!</v>
      </c>
      <c r="I687" s="231">
        <f>IF(J686&lt;13,J686,"")</f>
        <v>3</v>
      </c>
      <c r="J687" s="230">
        <f>J688+3</f>
        <v>9</v>
      </c>
      <c r="K687" s="506" t="str">
        <f t="shared" si="231"/>
        <v/>
      </c>
      <c r="L687" s="471"/>
      <c r="M687" s="473" t="e">
        <f ca="1">SUM(J680-E688)&amp;" Tage"</f>
        <v>#NUM!</v>
      </c>
      <c r="N687" s="216"/>
      <c r="O687" s="188"/>
      <c r="P687" s="188"/>
      <c r="Q687" s="217"/>
      <c r="R687" s="189"/>
      <c r="S687" s="190"/>
      <c r="T687" s="190"/>
      <c r="U687" s="191"/>
      <c r="V687" s="192"/>
      <c r="W687" s="190"/>
      <c r="X687" s="190"/>
      <c r="Y687" s="191"/>
      <c r="Z687" s="192"/>
      <c r="AA687" s="190"/>
      <c r="AB687" s="190"/>
      <c r="AC687" s="191"/>
      <c r="AD687" s="192"/>
      <c r="AE687" s="190"/>
      <c r="AF687" s="190"/>
      <c r="AG687" s="191"/>
      <c r="AH687" s="193"/>
      <c r="AI687" s="190"/>
      <c r="AJ687" s="190"/>
      <c r="AK687" s="374"/>
      <c r="AL687" s="348"/>
      <c r="AM687" s="354"/>
      <c r="AN687" s="354"/>
      <c r="AO687" s="354"/>
      <c r="AP687" s="354"/>
      <c r="AQ687" s="350"/>
      <c r="AR687" s="769"/>
      <c r="AS687" s="769"/>
      <c r="AT687" s="769"/>
      <c r="BM687" s="335"/>
    </row>
    <row r="688" spans="1:65" ht="22.25" customHeight="1">
      <c r="A688" s="181">
        <f t="shared" si="227"/>
        <v>45292</v>
      </c>
      <c r="B688" s="485"/>
      <c r="C688" s="490"/>
      <c r="D688" s="521"/>
      <c r="E688" s="218" t="e">
        <f>DATE(YEAR(E687),MONTH(E687)+3,DAY(E687)-1)</f>
        <v>#NUM!</v>
      </c>
      <c r="F688" s="227" t="e">
        <f t="shared" si="238"/>
        <v>#NUM!</v>
      </c>
      <c r="G688" s="228" t="e">
        <f t="shared" si="239"/>
        <v>#NUM!</v>
      </c>
      <c r="H688" s="227" t="e">
        <f t="shared" si="240"/>
        <v>#NUM!</v>
      </c>
      <c r="I688" s="231">
        <f>IF(J685&lt;13,J685,"")</f>
        <v>0</v>
      </c>
      <c r="J688" s="230">
        <f>J686+3</f>
        <v>6</v>
      </c>
      <c r="K688" s="501" t="str">
        <f t="shared" si="231"/>
        <v>+Inflat.-P</v>
      </c>
      <c r="L688" s="508" t="e">
        <f>IF(M679="Stufe A",IF(AND(L680="Auswahl treffen",D687&gt;=0,D687&lt;=1000),J679,IF(AND(L680="Vermögend und ambulant",D687&gt;8,D687&lt;=1000),130,IF(AND(L680="Vermögend und ambulant",D687&gt;4,D687&lt;=8),158,IF(AND(L680="Vermögend und ambulant",D687&gt;2,D687&lt;=4),192,IF(AND(L680="Vermögend und ambulant",D687&gt;1,D687&lt;=2),208,IF(AND(L680="Vermögend und ambulant",D687&gt;0,D687&lt;=1),298,IF(AND(L680="Vermögend und stationär",D687&gt;8,D687&lt;=1000),78,IF(AND(L680="Vermögend und stationär",D687&gt;4,D687&lt;=8),91,IF(AND(L680="Vermögend und stationär",D687&gt;2,D687&lt;=4),140,IF(AND(L680="Vermögend und stationär",D687&gt;1,D687&lt;=2),158,IF(AND(L680="Vermögend und stationär",D687&gt;0,D687&lt;=1),200,IF(AND(L680="Mittellos und ambulant",D687&gt;8,D687&lt;=1000),105,IF(AND(L680="Mittellos und ambulant",D687&gt;4,D687&lt;=8),122,IF(AND(L680="Mittellos und ambulant",D687&gt;2,D687&lt;=4),151,IF(AND(L680="Mittellos und ambulant",D687&gt;1,D687&lt;=2),170,IF(AND(L680="Mittellos und ambulant",D687&gt;0,D687&lt;=1),208,IF(AND(L680="Mittellos und stationär",D687&gt;8,D687&lt;=1000),62,IF(AND(L680="Mittellos und stationär",D687&gt;4,D687&lt;=8),87,IF(AND(L680="Mittellos und stationär",D687&gt;2,D687&lt;=4),124,IF(AND(L680="Mittellos und stationär",D687&gt;1,D687&lt;=2),129,IF(AND(L680="Mittellos und stationär",D687&gt;0,D687&lt;=1),194,""))))))))))))))))))))),IF(M679="Stufe B",IF(AND(L680="Auswahl treffen",D687&gt;=0,D687&lt;=1000),J679,IF(AND(L680="Vermögend und ambulant",D687&gt;8,D687&lt;=1000),161,IF(AND(L680="Vermögend und ambulant",D687&gt;4,D687&lt;=8),196,IF(AND(L680="Vermögend und ambulant",D687&gt;2,D687&lt;=4),238,IF(AND(L680="Vermögend und ambulant",D687&gt;1,D687&lt;=2),258,IF(AND(L680="Vermögend und ambulant",D687&gt;0,D687&lt;=1),370,IF(AND(L680="Vermögend und stationär",D687&gt;8,D687&lt;=1000),96,IF(AND(L680="Vermögend und stationär",D687&gt;4,D687&lt;=8),113,IF(AND(L680="Vermögend und stationär",D687&gt;2,D687&lt;=4),174,IF(AND(L680="Vermögend und stationär",D687&gt;1,D687&lt;=2),196,IF(AND(L680="Vermögend und stationär",D687&gt;0,D687&lt;=1),249,IF(AND(L680="Mittellos und ambulant",D687&gt;8,D687&lt;=1000),130,IF(AND(L680="Mittellos und ambulant",D687&gt;4,D687&lt;=8),151,IF(AND(L680="Mittellos und ambulant",D687&gt;2,D687&lt;=4),188,IF(AND(L680="Mittellos und ambulant",D687&gt;1,D687&lt;=2),211,IF(AND(L680="Mittellos und ambulant",D687&gt;0,D687&lt;=1),258,IF(AND(L680="Mittellos und stationär",D687&gt;8,D687&lt;=1000),78,IF(AND(L680="Mittellos und stationär",D687&gt;4,D687&lt;=8),107,IF(AND(L680="Mittellos und stationär",D687&gt;2,D687&lt;=4),154,IF(AND(L680="Mittellos und stationär",D687&gt;1,D687&lt;=2),158,IF(AND(L680="Mittellos und stationär",D687&gt;0,D687&lt;=1),241,""))))))))))))))))))))),IF(M679="Stufe C",IF(AND(L680="Auswahl treffen",D687&gt;=0,D687&lt;=1000),J679,IF(AND(L680="Vermögend und ambulant",D687&gt;8,D687&lt;=1000),211,IF(AND(L680="Vermögend und ambulant",D687&gt;4,D687&lt;=8),257,IF(AND(L680="Vermögend und ambulant",D687&gt;2,D687&lt;=4),312,IF(AND(L680="Vermögend und ambulant",D687&gt;1,D687&lt;=2),339,IF(AND(L680="Vermögend und ambulant",D687&gt;0,D687&lt;=1),486,IF(AND(L680="Vermögend und stationär",D687&gt;8,D687&lt;=1000),127,IF(AND(L680="Vermögend und stationär",D687&gt;4,D687&lt;=8),149,IF(AND(L680="Vermögend und stationär",D687&gt;2,D687&lt;=4),229,IF(AND(L680="Vermögend und stationär",D687&gt;1,D687&lt;=2),257,IF(AND(L680="Vermögend und stationär",D687&gt;0,D687&lt;=1),327,IF(AND(L680="Mittellos und ambulant",D687&gt;8,D687&lt;=1000),171,IF(AND(L680="Mittellos und ambulant",D687&gt;4,D687&lt;=8),198,IF(AND(L680="Mittellos und ambulant",D687&gt;2,D687&lt;=4),246,IF(AND(L680="Mittellos und ambulant",D687&gt;1,D687&lt;=2),277,IF(AND(L680="Mittellos und ambulant",D687&gt;0,D687&lt;=1),339,IF(AND(L680="Mittellos und stationär",D687&gt;8,D687&lt;=1000),102,IF(AND(L680="Mittellos und stationär",D687&gt;4,D687&lt;=8),141,IF(AND(L680="Mittellos und stationär",D687&gt;2,D687&lt;=4),202,IF(AND(L680="Mittellos und stationär",D687&gt;1,D687&lt;=2),208,IF(AND(L680="Mittellos und stationär",D687&gt;0,D687&lt;=1),317,""))))))))))))))))))))),"")))*3+(J679*90)</f>
        <v>#NUM!</v>
      </c>
      <c r="M688" s="507" t="str">
        <f>CONCATENATE(K688, K687)</f>
        <v>+Inflat.-P</v>
      </c>
      <c r="N688" s="216"/>
      <c r="O688" s="188"/>
      <c r="P688" s="188"/>
      <c r="Q688" s="217" t="s">
        <v>118</v>
      </c>
      <c r="R688" s="189"/>
      <c r="S688" s="190"/>
      <c r="T688" s="190"/>
      <c r="U688" s="191"/>
      <c r="V688" s="192"/>
      <c r="W688" s="190"/>
      <c r="X688" s="190"/>
      <c r="Y688" s="191"/>
      <c r="Z688" s="192"/>
      <c r="AA688" s="190"/>
      <c r="AB688" s="190"/>
      <c r="AC688" s="191"/>
      <c r="AD688" s="192"/>
      <c r="AE688" s="190" t="s">
        <v>118</v>
      </c>
      <c r="AF688" s="190" t="s">
        <v>117</v>
      </c>
      <c r="AG688" s="191" t="s">
        <v>26</v>
      </c>
      <c r="AH688" s="193"/>
      <c r="AI688" s="190" t="s">
        <v>118</v>
      </c>
      <c r="AJ688" s="190" t="s">
        <v>117</v>
      </c>
      <c r="AK688" s="374" t="s">
        <v>26</v>
      </c>
      <c r="AL688" s="348" t="s">
        <v>151</v>
      </c>
      <c r="AM688" s="354"/>
      <c r="AN688" s="354"/>
      <c r="AO688" s="354"/>
      <c r="AP688" s="354">
        <f>IF(SUM(Q680:Q688)=SUM(AE680:AE688,AI680:AI688), 0, SUM(Q680:Q688)-SUM(AE680:AE688,AI680:AI688))</f>
        <v>0</v>
      </c>
      <c r="AQ688" s="350">
        <f>AM688+AN688+AO688+AP688</f>
        <v>0</v>
      </c>
      <c r="AR688" s="769"/>
      <c r="AS688" s="769"/>
      <c r="AT688" s="769"/>
      <c r="BM688" s="335"/>
    </row>
    <row r="689" spans="1:65" ht="22" customHeight="1">
      <c r="A689" s="181">
        <f t="shared" si="227"/>
        <v>45292</v>
      </c>
      <c r="B689" s="232" t="s">
        <v>74</v>
      </c>
      <c r="C689" s="233" t="s">
        <v>75</v>
      </c>
      <c r="D689" s="234" t="s">
        <v>76</v>
      </c>
      <c r="E689" s="235" t="s">
        <v>11</v>
      </c>
      <c r="F689" s="235" t="s">
        <v>4</v>
      </c>
      <c r="G689" s="235" t="s">
        <v>5</v>
      </c>
      <c r="H689" s="235" t="s">
        <v>6</v>
      </c>
      <c r="I689" s="236" t="s">
        <v>77</v>
      </c>
      <c r="J689" s="306"/>
      <c r="K689" s="506" t="str">
        <f t="shared" si="231"/>
        <v/>
      </c>
      <c r="L689" s="306" t="str">
        <f>IFERROR(VLOOKUP(B690,'Aktuelle Einnahmen'!A2:J104,10,0),"")</f>
        <v/>
      </c>
      <c r="M689" s="510" t="str">
        <f>M679</f>
        <v>Stufe C</v>
      </c>
      <c r="N689" s="237"/>
      <c r="O689" s="238"/>
      <c r="P689" s="238"/>
      <c r="Q689" s="239"/>
      <c r="R689" s="240"/>
      <c r="S689" s="241"/>
      <c r="T689" s="241"/>
      <c r="U689" s="242"/>
      <c r="V689" s="243"/>
      <c r="W689" s="241"/>
      <c r="X689" s="241"/>
      <c r="Y689" s="242"/>
      <c r="Z689" s="243"/>
      <c r="AA689" s="241"/>
      <c r="AB689" s="241"/>
      <c r="AC689" s="242"/>
      <c r="AD689" s="243"/>
      <c r="AE689" s="241"/>
      <c r="AF689" s="241"/>
      <c r="AG689" s="242"/>
      <c r="AH689" s="240"/>
      <c r="AI689" s="241"/>
      <c r="AJ689" s="241"/>
      <c r="AK689" s="377"/>
      <c r="AL689" s="347"/>
      <c r="AM689" s="353"/>
      <c r="AN689" s="353"/>
      <c r="AO689" s="353"/>
      <c r="AP689" s="353"/>
      <c r="AQ689" s="349"/>
      <c r="AR689" s="768"/>
      <c r="AS689" s="768"/>
      <c r="AT689" s="768"/>
      <c r="BM689" s="335"/>
    </row>
    <row r="690" spans="1:65" ht="23" customHeight="1">
      <c r="A690" s="181">
        <f t="shared" si="227"/>
        <v>45292</v>
      </c>
      <c r="B690" s="182">
        <v>69</v>
      </c>
      <c r="C690" s="245">
        <f>IFERROR(VLOOKUP($B690,'Aktuelle Einnahmen'!A2:G104,3,0),"")</f>
        <v>0</v>
      </c>
      <c r="D690" s="246">
        <f>IFERROR(VLOOKUP($B690,'Aktuelle Einnahmen'!A2:G104,2,0),"")</f>
        <v>0</v>
      </c>
      <c r="E690" s="247">
        <f>IFERROR(VLOOKUP($B690,'Aktuelle Einnahmen'!A2:G104,4,0),"")</f>
        <v>0</v>
      </c>
      <c r="F690" s="94">
        <f>IFERROR(VLOOKUP($B690,'Aktuelle Einnahmen'!A2:G104,5,0),"")</f>
        <v>0</v>
      </c>
      <c r="G690" s="94">
        <f>IFERROR(VLOOKUP($B690,'Aktuelle Einnahmen'!A2:G104,6,0),"")</f>
        <v>0</v>
      </c>
      <c r="H690" s="94">
        <f>IFERROR(VLOOKUP($B690,'Aktuelle Einnahmen'!A2:G104,7,0),"")</f>
        <v>0</v>
      </c>
      <c r="I690" s="186" t="e">
        <f>DATE(H690,G690,F690)</f>
        <v>#NUM!</v>
      </c>
      <c r="J690" s="472">
        <f ca="1">J680</f>
        <v>45475</v>
      </c>
      <c r="K690" s="501" t="str">
        <f t="shared" si="231"/>
        <v>+Inflat.-P</v>
      </c>
      <c r="L690" s="1262" t="str">
        <f>IFERROR(VLOOKUP(B690,'Aktuelle Einnahmen'!A22:I124,9,0),"")</f>
        <v>Auswahl treffen</v>
      </c>
      <c r="M690" s="1263"/>
      <c r="N690" s="261"/>
      <c r="O690" s="261"/>
      <c r="P690" s="261"/>
      <c r="Q690" s="261"/>
      <c r="R690" s="189"/>
      <c r="S690" s="190"/>
      <c r="T690" s="190"/>
      <c r="U690" s="191"/>
      <c r="V690" s="192"/>
      <c r="W690" s="190"/>
      <c r="X690" s="190"/>
      <c r="Y690" s="191"/>
      <c r="Z690" s="192"/>
      <c r="AA690" s="190"/>
      <c r="AB690" s="190"/>
      <c r="AC690" s="191"/>
      <c r="AD690" s="192"/>
      <c r="AE690" s="190"/>
      <c r="AF690" s="190"/>
      <c r="AG690" s="191"/>
      <c r="AH690" s="193"/>
      <c r="AI690" s="190"/>
      <c r="AJ690" s="190"/>
      <c r="AK690" s="374"/>
      <c r="AL690" s="348"/>
      <c r="AM690" s="354"/>
      <c r="AN690" s="354"/>
      <c r="AO690" s="354"/>
      <c r="AP690" s="354"/>
      <c r="AQ690" s="350"/>
      <c r="AR690" s="769"/>
      <c r="AS690" s="769"/>
      <c r="AT690" s="769"/>
      <c r="BM690" s="335"/>
    </row>
    <row r="691" spans="1:65" ht="22.25" customHeight="1">
      <c r="A691" s="181">
        <f t="shared" si="227"/>
        <v>45292</v>
      </c>
      <c r="B691" s="484" t="e">
        <f>DAY(I690)</f>
        <v>#NUM!</v>
      </c>
      <c r="C691" s="489" t="s">
        <v>158</v>
      </c>
      <c r="D691" s="520" t="e">
        <f>(I691*4)+J691/3+1</f>
        <v>#NUM!</v>
      </c>
      <c r="E691" s="194" t="e">
        <f>J693+1</f>
        <v>#NUM!</v>
      </c>
      <c r="F691" s="195" t="e">
        <f t="shared" ref="F691:F698" si="241">DAY(E691)</f>
        <v>#NUM!</v>
      </c>
      <c r="G691" s="196" t="e">
        <f t="shared" ref="G691:G698" si="242">MONTH(E691)</f>
        <v>#NUM!</v>
      </c>
      <c r="H691" s="195" t="e">
        <f t="shared" ref="H691:H698" si="243">YEAR(E691)</f>
        <v>#NUM!</v>
      </c>
      <c r="I691" s="197" t="e">
        <f>H691-(H690+2000)</f>
        <v>#NUM!</v>
      </c>
      <c r="J691" s="198" t="e">
        <f>G691-G690</f>
        <v>#NUM!</v>
      </c>
      <c r="K691" s="506" t="str">
        <f>L689</f>
        <v/>
      </c>
      <c r="L691" s="469"/>
      <c r="M691" s="473" t="e">
        <f ca="1">SUM(J690-E692)&amp;" Tage"</f>
        <v>#NUM!</v>
      </c>
      <c r="N691" s="206"/>
      <c r="O691" s="201"/>
      <c r="P691" s="201"/>
      <c r="Q691" s="202"/>
      <c r="R691" s="189"/>
      <c r="S691" s="203"/>
      <c r="T691" s="203"/>
      <c r="U691" s="204"/>
      <c r="V691" s="192"/>
      <c r="W691" s="203"/>
      <c r="X691" s="203"/>
      <c r="Y691" s="204"/>
      <c r="Z691" s="192"/>
      <c r="AA691" s="203"/>
      <c r="AB691" s="203"/>
      <c r="AC691" s="204"/>
      <c r="AD691" s="192"/>
      <c r="AE691" s="203"/>
      <c r="AF691" s="203"/>
      <c r="AG691" s="204"/>
      <c r="AH691" s="193"/>
      <c r="AI691" s="203"/>
      <c r="AJ691" s="203"/>
      <c r="AK691" s="375"/>
      <c r="AL691" s="348"/>
      <c r="AM691" s="354"/>
      <c r="AN691" s="354"/>
      <c r="AO691" s="354"/>
      <c r="AP691" s="354"/>
      <c r="AQ691" s="350"/>
      <c r="AR691" s="769"/>
      <c r="AS691" s="769"/>
      <c r="AT691" s="769"/>
      <c r="BM691" s="335"/>
    </row>
    <row r="692" spans="1:65" ht="22.25" customHeight="1">
      <c r="A692" s="181">
        <f t="shared" si="227"/>
        <v>45292</v>
      </c>
      <c r="B692" s="485"/>
      <c r="C692" s="490"/>
      <c r="D692" s="521"/>
      <c r="E692" s="194" t="e">
        <f>DATE(YEAR(E691),MONTH(E691)+3,DAY(E691)-1)</f>
        <v>#NUM!</v>
      </c>
      <c r="F692" s="195" t="e">
        <f t="shared" si="241"/>
        <v>#NUM!</v>
      </c>
      <c r="G692" s="196" t="e">
        <f t="shared" si="242"/>
        <v>#NUM!</v>
      </c>
      <c r="H692" s="195" t="e">
        <f t="shared" si="243"/>
        <v>#NUM!</v>
      </c>
      <c r="I692" s="244">
        <v>-1</v>
      </c>
      <c r="J692" s="198" t="e">
        <f>F691-F690</f>
        <v>#NUM!</v>
      </c>
      <c r="K692" s="506" t="str">
        <f t="shared" si="231"/>
        <v>+Inflat.-P</v>
      </c>
      <c r="L692" s="511" t="e">
        <f>IF(M689="Stufe A",IF(AND(L690="Auswahl treffen",D691&gt;=0,D691&lt;=1000),J689,IF(AND(L690="Vermögend und ambulant",D691&gt;8,D691&lt;=1000),130,IF(AND(L690="Vermögend und ambulant",D691&gt;4,D691&lt;=8),158,IF(AND(L690="Vermögend und ambulant",D691&gt;2,D691&lt;=4),192,IF(AND(L690="Vermögend und ambulant",D691&gt;1,D691&lt;=2),208,IF(AND(L690="Vermögend und ambulant",D691&gt;0,D691&lt;=1),298,IF(AND(L690="Vermögend und stationär",D691&gt;8,D691&lt;=1000),78,IF(AND(L690="Vermögend und stationär",D691&gt;4,D691&lt;=8),91,IF(AND(L690="Vermögend und stationär",D691&gt;2,D691&lt;=4),140,IF(AND(L690="Vermögend und stationär",D691&gt;1,D691&lt;=2),158,IF(AND(L690="Vermögend und stationär",D691&gt;0,D691&lt;=1),200,IF(AND(L690="Mittellos und ambulant",D691&gt;8,D691&lt;=1000),105,IF(AND(L690="Mittellos und ambulant",D691&gt;4,D691&lt;=8),122,IF(AND(L690="Mittellos und ambulant",D691&gt;2,D691&lt;=4),151,IF(AND(L690="Mittellos und ambulant",D691&gt;1,D691&lt;=2),170,IF(AND(L690="Mittellos und ambulant",D691&gt;0,D691&lt;=1),208,IF(AND(L690="Mittellos und stationär",D691&gt;8,D691&lt;=1000),62,IF(AND(L690="Mittellos und stationär",D691&gt;4,D691&lt;=8),87,IF(AND(L690="Mittellos und stationär",D691&gt;2,D691&lt;=4),124,IF(AND(L690="Mittellos und stationär",D691&gt;1,D691&lt;=2),129,IF(AND(L690="Mittellos und stationär",D691&gt;0,D691&lt;=1),194,""))))))))))))))))))))),IF(M689="Stufe B",IF(AND(L690="Auswahl treffen",D691&gt;=0,D691&lt;=1000),J689,IF(AND(L690="Vermögend und ambulant",D691&gt;8,D691&lt;=1000),161,IF(AND(L690="Vermögend und ambulant",D691&gt;4,D691&lt;=8),196,IF(AND(L690="Vermögend und ambulant",D691&gt;2,D691&lt;=4),238,IF(AND(L690="Vermögend und ambulant",D691&gt;1,D691&lt;=2),258,IF(AND(L690="Vermögend und ambulant",D691&gt;0,D691&lt;=1),370,IF(AND(L690="Vermögend und stationär",D691&gt;8,D691&lt;=1000),96,IF(AND(L690="Vermögend und stationär",D691&gt;4,D691&lt;=8),113,IF(AND(L690="Vermögend und stationär",D691&gt;2,D691&lt;=4),174,IF(AND(L690="Vermögend und stationär",D691&gt;1,D691&lt;=2),196,IF(AND(L690="Vermögend und stationär",D691&gt;0,D691&lt;=1),249,IF(AND(L690="Mittellos und ambulant",D691&gt;8,D691&lt;=1000),130,IF(AND(L690="Mittellos und ambulant",D691&gt;4,D691&lt;=8),151,IF(AND(L690="Mittellos und ambulant",D691&gt;2,D691&lt;=4),188,IF(AND(L690="Mittellos und ambulant",D691&gt;1,D691&lt;=2),211,IF(AND(L690="Mittellos und ambulant",D691&gt;0,D691&lt;=1),258,IF(AND(L690="Mittellos und stationär",D691&gt;8,D691&lt;=1000),78,IF(AND(L690="Mittellos und stationär",D691&gt;4,D691&lt;=8),107,IF(AND(L690="Mittellos und stationär",D691&gt;2,D691&lt;=4),154,IF(AND(L690="Mittellos und stationär",D691&gt;1,D691&lt;=2),158,IF(AND(L690="Mittellos und stationär",D691&gt;0,D691&lt;=1),241,""))))))))))))))))))))),IF(M689="Stufe C",IF(AND(L690="Auswahl treffen",D691&gt;=0,D691&lt;=1000),J689,IF(AND(L690="Vermögend und ambulant",D691&gt;8,D691&lt;=1000),211,IF(AND(L690="Vermögend und ambulant",D691&gt;4,D691&lt;=8),257,IF(AND(L690="Vermögend und ambulant",D691&gt;2,D691&lt;=4),312,IF(AND(L690="Vermögend und ambulant",D691&gt;1,D691&lt;=2),339,IF(AND(L690="Vermögend und ambulant",D691&gt;0,D691&lt;=1),486,IF(AND(L690="Vermögend und stationär",D691&gt;8,D691&lt;=1000),127,IF(AND(L690="Vermögend und stationär",D691&gt;4,D691&lt;=8),149,IF(AND(L690="Vermögend und stationär",D691&gt;2,D691&lt;=4),229,IF(AND(L690="Vermögend und stationär",D691&gt;1,D691&lt;=2),257,IF(AND(L690="Vermögend und stationär",D691&gt;0,D691&lt;=1),327,IF(AND(L690="Mittellos und ambulant",D691&gt;8,D691&lt;=1000),171,IF(AND(L690="Mittellos und ambulant",D691&gt;4,D691&lt;=8),198,IF(AND(L690="Mittellos und ambulant",D691&gt;2,D691&lt;=4),246,IF(AND(L690="Mittellos und ambulant",D691&gt;1,D691&lt;=2),277,IF(AND(L690="Mittellos und ambulant",D691&gt;0,D691&lt;=1),339,IF(AND(L690="Mittellos und stationär",D691&gt;8,D691&lt;=1000),102,IF(AND(L690="Mittellos und stationär",D691&gt;4,D691&lt;=8),141,IF(AND(L690="Mittellos und stationär",D691&gt;2,D691&lt;=4),202,IF(AND(L690="Mittellos und stationär",D691&gt;1,D691&lt;=2),208,IF(AND(L690="Mittellos und stationär",D691&gt;0,D691&lt;=1),317,""))))))))))))))))))))),"")))*3+(J689*90)</f>
        <v>#NUM!</v>
      </c>
      <c r="M692" s="507" t="str">
        <f>CONCATENATE(K692, K691)</f>
        <v>+Inflat.-P</v>
      </c>
      <c r="N692" s="206" t="s">
        <v>118</v>
      </c>
      <c r="O692" s="207"/>
      <c r="P692" s="207"/>
      <c r="Q692" s="208"/>
      <c r="R692" s="187"/>
      <c r="S692" s="209" t="s">
        <v>118</v>
      </c>
      <c r="T692" s="201" t="s">
        <v>117</v>
      </c>
      <c r="U692" s="210" t="s">
        <v>26</v>
      </c>
      <c r="V692" s="192"/>
      <c r="W692" s="203"/>
      <c r="X692" s="203"/>
      <c r="Y692" s="210"/>
      <c r="Z692" s="192"/>
      <c r="AA692" s="203"/>
      <c r="AB692" s="203"/>
      <c r="AC692" s="210"/>
      <c r="AD692" s="192"/>
      <c r="AE692" s="203"/>
      <c r="AF692" s="203"/>
      <c r="AG692" s="210"/>
      <c r="AH692" s="193"/>
      <c r="AI692" s="203"/>
      <c r="AJ692" s="203"/>
      <c r="AK692" s="376"/>
      <c r="AL692" s="348" t="s">
        <v>148</v>
      </c>
      <c r="AM692" s="354">
        <f>IF(SUM(N690:N698)=SUM(S690:S698), 0, SUM(N690:N698)-SUM(S690:S698))</f>
        <v>0</v>
      </c>
      <c r="AN692" s="354"/>
      <c r="AO692" s="354"/>
      <c r="AP692" s="354"/>
      <c r="AQ692" s="350">
        <f>AM692+AN692+AO692+AP692</f>
        <v>0</v>
      </c>
      <c r="AR692" s="769"/>
      <c r="AS692" s="769"/>
      <c r="AT692" s="769"/>
      <c r="BM692" s="335"/>
    </row>
    <row r="693" spans="1:65" ht="22.25" customHeight="1">
      <c r="A693" s="181">
        <f t="shared" si="227"/>
        <v>45292</v>
      </c>
      <c r="B693" s="484" t="e">
        <f>MONTH(I690)</f>
        <v>#NUM!</v>
      </c>
      <c r="C693" s="489" t="s">
        <v>158</v>
      </c>
      <c r="D693" s="522" t="e">
        <f>D691+1</f>
        <v>#NUM!</v>
      </c>
      <c r="E693" s="211" t="e">
        <f>DATE(YEAR(E692),MONTH(E692),DAY(E692)+1)</f>
        <v>#NUM!</v>
      </c>
      <c r="F693" s="212" t="e">
        <f t="shared" si="241"/>
        <v>#NUM!</v>
      </c>
      <c r="G693" s="213" t="e">
        <f t="shared" si="242"/>
        <v>#NUM!</v>
      </c>
      <c r="H693" s="212" t="e">
        <f t="shared" si="243"/>
        <v>#NUM!</v>
      </c>
      <c r="I693" s="214" t="str">
        <f>IF(D690&lt;&gt;0,"-1T","")</f>
        <v/>
      </c>
      <c r="J693" s="215" t="e">
        <f>DATE($B695,I694,$B691)</f>
        <v>#NUM!</v>
      </c>
      <c r="K693" s="501" t="str">
        <f t="shared" si="231"/>
        <v/>
      </c>
      <c r="L693" s="470"/>
      <c r="M693" s="473" t="e">
        <f ca="1">SUM(J690-E694)&amp;" Tage"</f>
        <v>#NUM!</v>
      </c>
      <c r="N693" s="216"/>
      <c r="O693" s="217"/>
      <c r="P693" s="188"/>
      <c r="Q693" s="217"/>
      <c r="R693" s="189"/>
      <c r="S693" s="190"/>
      <c r="T693" s="190"/>
      <c r="U693" s="191"/>
      <c r="V693" s="192"/>
      <c r="W693" s="190"/>
      <c r="X693" s="190"/>
      <c r="Y693" s="191"/>
      <c r="Z693" s="192"/>
      <c r="AA693" s="190"/>
      <c r="AB693" s="190"/>
      <c r="AC693" s="191"/>
      <c r="AD693" s="192"/>
      <c r="AE693" s="190"/>
      <c r="AF693" s="190"/>
      <c r="AG693" s="191"/>
      <c r="AH693" s="193"/>
      <c r="AI693" s="190"/>
      <c r="AJ693" s="190"/>
      <c r="AK693" s="374"/>
      <c r="AL693" s="348"/>
      <c r="AM693" s="354"/>
      <c r="AN693" s="354"/>
      <c r="AO693" s="354"/>
      <c r="AP693" s="354"/>
      <c r="AQ693" s="350"/>
      <c r="AR693" s="769"/>
      <c r="AS693" s="769"/>
      <c r="AT693" s="769"/>
      <c r="BM693" s="335"/>
    </row>
    <row r="694" spans="1:65" ht="22.25" customHeight="1">
      <c r="A694" s="181">
        <f t="shared" si="227"/>
        <v>45292</v>
      </c>
      <c r="B694" s="485"/>
      <c r="C694" s="490"/>
      <c r="D694" s="521"/>
      <c r="E694" s="218" t="e">
        <f>DATE(YEAR(E693),MONTH(E693)+3,DAY(E693)-1)</f>
        <v>#NUM!</v>
      </c>
      <c r="F694" s="212" t="e">
        <f t="shared" si="241"/>
        <v>#NUM!</v>
      </c>
      <c r="G694" s="213" t="e">
        <f t="shared" si="242"/>
        <v>#NUM!</v>
      </c>
      <c r="H694" s="212" t="e">
        <f t="shared" si="243"/>
        <v>#NUM!</v>
      </c>
      <c r="I694" s="219">
        <f>MAX(I695:I698)</f>
        <v>9</v>
      </c>
      <c r="J694" s="220" t="e">
        <f>DATE(YEAR(J693)+1,MONTH(J693),DAY(J693))</f>
        <v>#NUM!</v>
      </c>
      <c r="K694" s="506" t="str">
        <f t="shared" si="231"/>
        <v>+Inflat.-P</v>
      </c>
      <c r="L694" s="508" t="e">
        <f>IF(M689="Stufe A",IF(AND(L690="Auswahl treffen",D693&gt;=0,D693&lt;=1000),J689,IF(AND(L690="Vermögend und ambulant",D693&gt;8,D693&lt;=1000),130,IF(AND(L690="Vermögend und ambulant",D693&gt;4,D693&lt;=8),158,IF(AND(L690="Vermögend und ambulant",D693&gt;2,D693&lt;=4),192,IF(AND(L690="Vermögend und ambulant",D693&gt;1,D693&lt;=2),208,IF(AND(L690="Vermögend und ambulant",D693&gt;0,D693&lt;=1),298,IF(AND(L690="Vermögend und stationär",D693&gt;8,D693&lt;=1000),78,IF(AND(L690="Vermögend und stationär",D693&gt;4,D693&lt;=8),91,IF(AND(L690="Vermögend und stationär",D693&gt;2,D693&lt;=4),140,IF(AND(L690="Vermögend und stationär",D693&gt;1,D693&lt;=2),158,IF(AND(L690="Vermögend und stationär",D693&gt;0,D693&lt;=1),200,IF(AND(L690="Mittellos und ambulant",D693&gt;8,D693&lt;=1000),105,IF(AND(L690="Mittellos und ambulant",D693&gt;4,D693&lt;=8),122,IF(AND(L690="Mittellos und ambulant",D693&gt;2,D693&lt;=4),151,IF(AND(L690="Mittellos und ambulant",D693&gt;1,D693&lt;=2),170,IF(AND(L690="Mittellos und ambulant",D693&gt;0,D693&lt;=1),208,IF(AND(L690="Mittellos und stationär",D693&gt;8,D693&lt;=1000),62,IF(AND(L690="Mittellos und stationär",D693&gt;4,D693&lt;=8),87,IF(AND(L690="Mittellos und stationär",D693&gt;2,D693&lt;=4),124,IF(AND(L690="Mittellos und stationär",D693&gt;1,D693&lt;=2),129,IF(AND(L690="Mittellos und stationär",D693&gt;0,D693&lt;=1),194,""))))))))))))))))))))),IF(M689="Stufe B",IF(AND(L690="Auswahl treffen",D693&gt;=0,D693&lt;=1000),J689,IF(AND(L690="Vermögend und ambulant",D693&gt;8,D693&lt;=1000),161,IF(AND(L690="Vermögend und ambulant",D693&gt;4,D693&lt;=8),196,IF(AND(L690="Vermögend und ambulant",D693&gt;2,D693&lt;=4),238,IF(AND(L690="Vermögend und ambulant",D693&gt;1,D693&lt;=2),258,IF(AND(L690="Vermögend und ambulant",D693&gt;0,D693&lt;=1),370,IF(AND(L690="Vermögend und stationär",D693&gt;8,D693&lt;=1000),96,IF(AND(L690="Vermögend und stationär",D693&gt;4,D693&lt;=8),113,IF(AND(L690="Vermögend und stationär",D693&gt;2,D693&lt;=4),174,IF(AND(L690="Vermögend und stationär",D693&gt;1,D693&lt;=2),196,IF(AND(L690="Vermögend und stationär",D693&gt;0,D693&lt;=1),249,IF(AND(L690="Mittellos und ambulant",D693&gt;8,D693&lt;=1000),130,IF(AND(L690="Mittellos und ambulant",D693&gt;4,D693&lt;=8),151,IF(AND(L690="Mittellos und ambulant",D693&gt;2,D693&lt;=4),188,IF(AND(L690="Mittellos und ambulant",D693&gt;1,D693&lt;=2),211,IF(AND(L690="Mittellos und ambulant",D693&gt;0,D693&lt;=1),258,IF(AND(L690="Mittellos und stationär",D693&gt;8,D693&lt;=1000),78,IF(AND(L690="Mittellos und stationär",D693&gt;4,D693&lt;=8),107,IF(AND(L690="Mittellos und stationär",D693&gt;2,D693&lt;=4),154,IF(AND(L690="Mittellos und stationär",D693&gt;1,D693&lt;=2),158,IF(AND(L690="Mittellos und stationär",D693&gt;0,D693&lt;=1),241,""))))))))))))))))))))),IF(M689="Stufe C",IF(AND(L690="Auswahl treffen",D693&gt;=0,D693&lt;=1000),J689,IF(AND(L690="Vermögend und ambulant",D693&gt;8,D693&lt;=1000),211,IF(AND(L690="Vermögend und ambulant",D693&gt;4,D693&lt;=8),257,IF(AND(L690="Vermögend und ambulant",D693&gt;2,D693&lt;=4),312,IF(AND(L690="Vermögend und ambulant",D693&gt;1,D693&lt;=2),339,IF(AND(L690="Vermögend und ambulant",D693&gt;0,D693&lt;=1),486,IF(AND(L690="Vermögend und stationär",D693&gt;8,D693&lt;=1000),127,IF(AND(L690="Vermögend und stationär",D693&gt;4,D693&lt;=8),149,IF(AND(L690="Vermögend und stationär",D693&gt;2,D693&lt;=4),229,IF(AND(L690="Vermögend und stationär",D693&gt;1,D693&lt;=2),257,IF(AND(L690="Vermögend und stationär",D693&gt;0,D693&lt;=1),327,IF(AND(L690="Mittellos und ambulant",D693&gt;8,D693&lt;=1000),171,IF(AND(L690="Mittellos und ambulant",D693&gt;4,D693&lt;=8),198,IF(AND(L690="Mittellos und ambulant",D693&gt;2,D693&lt;=4),246,IF(AND(L690="Mittellos und ambulant",D693&gt;1,D693&lt;=2),277,IF(AND(L690="Mittellos und ambulant",D693&gt;0,D693&lt;=1),339,IF(AND(L690="Mittellos und stationär",D693&gt;8,D693&lt;=1000),102,IF(AND(L690="Mittellos und stationär",D693&gt;4,D693&lt;=8),141,IF(AND(L690="Mittellos und stationär",D693&gt;2,D693&lt;=4),202,IF(AND(L690="Mittellos und stationär",D693&gt;1,D693&lt;=2),208,IF(AND(L690="Mittellos und stationär",D693&gt;0,D693&lt;=1),317,""))))))))))))))))))))),"")))*3+(J689*90)</f>
        <v>#NUM!</v>
      </c>
      <c r="M694" s="507" t="str">
        <f>CONCATENATE(K694, K693)</f>
        <v>+Inflat.-P</v>
      </c>
      <c r="N694" s="216"/>
      <c r="O694" s="188" t="s">
        <v>118</v>
      </c>
      <c r="P694" s="188"/>
      <c r="Q694" s="221"/>
      <c r="R694" s="199"/>
      <c r="S694" s="190"/>
      <c r="T694" s="190"/>
      <c r="U694" s="191"/>
      <c r="V694" s="192"/>
      <c r="W694" s="222" t="s">
        <v>118</v>
      </c>
      <c r="X694" s="222" t="s">
        <v>117</v>
      </c>
      <c r="Y694" s="191" t="s">
        <v>26</v>
      </c>
      <c r="Z694" s="192"/>
      <c r="AA694" s="190"/>
      <c r="AB694" s="190"/>
      <c r="AC694" s="191"/>
      <c r="AD694" s="192"/>
      <c r="AE694" s="190"/>
      <c r="AF694" s="190"/>
      <c r="AG694" s="191"/>
      <c r="AH694" s="193"/>
      <c r="AI694" s="190"/>
      <c r="AJ694" s="190"/>
      <c r="AK694" s="374"/>
      <c r="AL694" s="348" t="s">
        <v>149</v>
      </c>
      <c r="AM694" s="354"/>
      <c r="AN694" s="354">
        <f>IF(SUM(O690:O698)=SUM(W690:W698), 0, SUM(O690:O698)-SUM(W690:W698))</f>
        <v>0</v>
      </c>
      <c r="AO694" s="354"/>
      <c r="AP694" s="354"/>
      <c r="AQ694" s="350">
        <f>AM694+AN694+AO694+AP694</f>
        <v>0</v>
      </c>
      <c r="AR694" s="769"/>
      <c r="AS694" s="769"/>
      <c r="AT694" s="769"/>
      <c r="BM694" s="335"/>
    </row>
    <row r="695" spans="1:65" ht="22.25" customHeight="1">
      <c r="A695" s="181">
        <f t="shared" si="227"/>
        <v>45292</v>
      </c>
      <c r="B695" s="484">
        <f>YEAR($A696)-1</f>
        <v>2023</v>
      </c>
      <c r="C695" s="489" t="s">
        <v>158</v>
      </c>
      <c r="D695" s="520" t="e">
        <f>D693+1</f>
        <v>#NUM!</v>
      </c>
      <c r="E695" s="194" t="e">
        <f>DATE(YEAR(E694),MONTH(E694),DAY(E694)+1)</f>
        <v>#NUM!</v>
      </c>
      <c r="F695" s="195" t="e">
        <f t="shared" si="241"/>
        <v>#NUM!</v>
      </c>
      <c r="G695" s="196" t="e">
        <f t="shared" si="242"/>
        <v>#NUM!</v>
      </c>
      <c r="H695" s="195" t="e">
        <f t="shared" si="243"/>
        <v>#NUM!</v>
      </c>
      <c r="I695" s="197">
        <f>IF(J697&lt;13,J697,"")</f>
        <v>9</v>
      </c>
      <c r="J695" s="224">
        <f>G690</f>
        <v>0</v>
      </c>
      <c r="K695" s="501" t="str">
        <f t="shared" si="231"/>
        <v/>
      </c>
      <c r="L695" s="471"/>
      <c r="M695" s="473" t="e">
        <f ca="1">SUM(J690-E696)&amp;" Tage"</f>
        <v>#NUM!</v>
      </c>
      <c r="N695" s="200"/>
      <c r="O695" s="201"/>
      <c r="P695" s="201"/>
      <c r="Q695" s="202"/>
      <c r="R695" s="189"/>
      <c r="S695" s="203"/>
      <c r="T695" s="203"/>
      <c r="U695" s="204"/>
      <c r="V695" s="192"/>
      <c r="W695" s="203"/>
      <c r="X695" s="203"/>
      <c r="Y695" s="204"/>
      <c r="Z695" s="192"/>
      <c r="AA695" s="203"/>
      <c r="AB695" s="203"/>
      <c r="AC695" s="204"/>
      <c r="AD695" s="192"/>
      <c r="AE695" s="203"/>
      <c r="AF695" s="203"/>
      <c r="AG695" s="204"/>
      <c r="AH695" s="193"/>
      <c r="AI695" s="203"/>
      <c r="AJ695" s="203"/>
      <c r="AK695" s="375"/>
      <c r="AL695" s="348"/>
      <c r="AM695" s="354"/>
      <c r="AN695" s="354"/>
      <c r="AO695" s="354"/>
      <c r="AP695" s="354"/>
      <c r="AQ695" s="350"/>
      <c r="AR695" s="769"/>
      <c r="AS695" s="769"/>
      <c r="AT695" s="769"/>
      <c r="BM695" s="335"/>
    </row>
    <row r="696" spans="1:65" ht="22.25" customHeight="1">
      <c r="A696" s="181">
        <f t="shared" si="227"/>
        <v>45292</v>
      </c>
      <c r="B696" s="485"/>
      <c r="C696" s="490"/>
      <c r="D696" s="521"/>
      <c r="E696" s="194" t="e">
        <f>DATE(YEAR(E695),MONTH(E695)+3,DAY(E695)-1)</f>
        <v>#NUM!</v>
      </c>
      <c r="F696" s="195" t="e">
        <f t="shared" si="241"/>
        <v>#NUM!</v>
      </c>
      <c r="G696" s="196" t="e">
        <f t="shared" si="242"/>
        <v>#NUM!</v>
      </c>
      <c r="H696" s="195" t="e">
        <f t="shared" si="243"/>
        <v>#NUM!</v>
      </c>
      <c r="I696" s="244">
        <f>IF(J698&lt;13,J698,"")</f>
        <v>6</v>
      </c>
      <c r="J696" s="224">
        <f>J695+3</f>
        <v>3</v>
      </c>
      <c r="K696" s="506" t="str">
        <f t="shared" si="231"/>
        <v>+Inflat.-P</v>
      </c>
      <c r="L696" s="511" t="e">
        <f>IF(M689="Stufe A",IF(AND(L690="Auswahl treffen",D695&gt;=0,D695&lt;=1000),J689,IF(AND(L690="Vermögend und ambulant",D695&gt;8,D695&lt;=1000),130,IF(AND(L690="Vermögend und ambulant",D695&gt;4,D695&lt;=8),158,IF(AND(L690="Vermögend und ambulant",D695&gt;2,D695&lt;=4),192,IF(AND(L690="Vermögend und ambulant",D695&gt;1,D695&lt;=2),208,IF(AND(L690="Vermögend und ambulant",D695&gt;0,D695&lt;=1),298,IF(AND(L690="Vermögend und stationär",D695&gt;8,D695&lt;=1000),78,IF(AND(L690="Vermögend und stationär",D695&gt;4,D695&lt;=8),91,IF(AND(L690="Vermögend und stationär",D695&gt;2,D695&lt;=4),140,IF(AND(L690="Vermögend und stationär",D695&gt;1,D695&lt;=2),158,IF(AND(L690="Vermögend und stationär",D695&gt;0,D695&lt;=1),200,IF(AND(L690="Mittellos und ambulant",D695&gt;8,D695&lt;=1000),105,IF(AND(L690="Mittellos und ambulant",D695&gt;4,D695&lt;=8),122,IF(AND(L690="Mittellos und ambulant",D695&gt;2,D695&lt;=4),151,IF(AND(L690="Mittellos und ambulant",D695&gt;1,D695&lt;=2),170,IF(AND(L690="Mittellos und ambulant",D695&gt;0,D695&lt;=1),208,IF(AND(L690="Mittellos und stationär",D695&gt;8,D695&lt;=1000),62,IF(AND(L690="Mittellos und stationär",D695&gt;4,D695&lt;=8),87,IF(AND(L690="Mittellos und stationär",D695&gt;2,D695&lt;=4),124,IF(AND(L690="Mittellos und stationär",D695&gt;1,D695&lt;=2),129,IF(AND(L690="Mittellos und stationär",D695&gt;0,D695&lt;=1),194,""))))))))))))))))))))),IF(M689="Stufe B",IF(AND(L690="Auswahl treffen",D695&gt;=0,D695&lt;=1000),J689,IF(AND(L690="Vermögend und ambulant",D695&gt;8,D695&lt;=1000),161,IF(AND(L690="Vermögend und ambulant",D695&gt;4,D695&lt;=8),196,IF(AND(L690="Vermögend und ambulant",D695&gt;2,D695&lt;=4),238,IF(AND(L690="Vermögend und ambulant",D695&gt;1,D695&lt;=2),258,IF(AND(L690="Vermögend und ambulant",D695&gt;0,D695&lt;=1),370,IF(AND(L690="Vermögend und stationär",D695&gt;8,D695&lt;=1000),96,IF(AND(L690="Vermögend und stationär",D695&gt;4,D695&lt;=8),113,IF(AND(L690="Vermögend und stationär",D695&gt;2,D695&lt;=4),174,IF(AND(L690="Vermögend und stationär",D695&gt;1,D695&lt;=2),196,IF(AND(L690="Vermögend und stationär",D695&gt;0,D695&lt;=1),249,IF(AND(L690="Mittellos und ambulant",D695&gt;8,D695&lt;=1000),130,IF(AND(L690="Mittellos und ambulant",D695&gt;4,D695&lt;=8),151,IF(AND(L690="Mittellos und ambulant",D695&gt;2,D695&lt;=4),188,IF(AND(L690="Mittellos und ambulant",D695&gt;1,D695&lt;=2),211,IF(AND(L690="Mittellos und ambulant",D695&gt;0,D695&lt;=1),258,IF(AND(L690="Mittellos und stationär",D695&gt;8,D695&lt;=1000),78,IF(AND(L690="Mittellos und stationär",D695&gt;4,D695&lt;=8),107,IF(AND(L690="Mittellos und stationär",D695&gt;2,D695&lt;=4),154,IF(AND(L690="Mittellos und stationär",D695&gt;1,D695&lt;=2),158,IF(AND(L690="Mittellos und stationär",D695&gt;0,D695&lt;=1),241,""))))))))))))))))))))),IF(M689="Stufe C",IF(AND(L690="Auswahl treffen",D695&gt;=0,D695&lt;=1000),J689,IF(AND(L690="Vermögend und ambulant",D695&gt;8,D695&lt;=1000),211,IF(AND(L690="Vermögend und ambulant",D695&gt;4,D695&lt;=8),257,IF(AND(L690="Vermögend und ambulant",D695&gt;2,D695&lt;=4),312,IF(AND(L690="Vermögend und ambulant",D695&gt;1,D695&lt;=2),339,IF(AND(L690="Vermögend und ambulant",D695&gt;0,D695&lt;=1),486,IF(AND(L690="Vermögend und stationär",D695&gt;8,D695&lt;=1000),127,IF(AND(L690="Vermögend und stationär",D695&gt;4,D695&lt;=8),149,IF(AND(L690="Vermögend und stationär",D695&gt;2,D695&lt;=4),229,IF(AND(L690="Vermögend und stationär",D695&gt;1,D695&lt;=2),257,IF(AND(L690="Vermögend und stationär",D695&gt;0,D695&lt;=1),327,IF(AND(L690="Mittellos und ambulant",D695&gt;8,D695&lt;=1000),171,IF(AND(L690="Mittellos und ambulant",D695&gt;4,D695&lt;=8),198,IF(AND(L690="Mittellos und ambulant",D695&gt;2,D695&lt;=4),246,IF(AND(L690="Mittellos und ambulant",D695&gt;1,D695&lt;=2),277,IF(AND(L690="Mittellos und ambulant",D695&gt;0,D695&lt;=1),339,IF(AND(L690="Mittellos und stationär",D695&gt;8,D695&lt;=1000),102,IF(AND(L690="Mittellos und stationär",D695&gt;4,D695&lt;=8),141,IF(AND(L690="Mittellos und stationär",D695&gt;2,D695&lt;=4),202,IF(AND(L690="Mittellos und stationär",D695&gt;1,D695&lt;=2),208,IF(AND(L690="Mittellos und stationär",D695&gt;0,D695&lt;=1),317,""))))))))))))))))))))),"")))*3+(J689*90)</f>
        <v>#NUM!</v>
      </c>
      <c r="M696" s="507" t="str">
        <f>CONCATENATE(K696, K695)</f>
        <v>+Inflat.-P</v>
      </c>
      <c r="N696" s="206"/>
      <c r="O696" s="207"/>
      <c r="P696" s="206" t="s">
        <v>118</v>
      </c>
      <c r="Q696" s="226"/>
      <c r="R696" s="189"/>
      <c r="S696" s="203"/>
      <c r="T696" s="203"/>
      <c r="U696" s="204"/>
      <c r="V696" s="192"/>
      <c r="W696" s="203"/>
      <c r="X696" s="203"/>
      <c r="Y696" s="204"/>
      <c r="Z696" s="192"/>
      <c r="AA696" s="209" t="s">
        <v>118</v>
      </c>
      <c r="AB696" s="209" t="s">
        <v>117</v>
      </c>
      <c r="AC696" s="204" t="s">
        <v>26</v>
      </c>
      <c r="AD696" s="192"/>
      <c r="AE696" s="203"/>
      <c r="AF696" s="203"/>
      <c r="AG696" s="204"/>
      <c r="AH696" s="193"/>
      <c r="AI696" s="203"/>
      <c r="AJ696" s="203"/>
      <c r="AK696" s="375"/>
      <c r="AL696" s="348" t="s">
        <v>150</v>
      </c>
      <c r="AM696" s="354"/>
      <c r="AN696" s="354"/>
      <c r="AO696" s="354">
        <f>IF(SUM(P690:P698)=SUM(AA690:AA698), 0, SUM(P690:P698)-SUM(AA690:AA698))</f>
        <v>0</v>
      </c>
      <c r="AP696" s="354"/>
      <c r="AQ696" s="350">
        <f>AM696+AN696+AO696+AP696</f>
        <v>0</v>
      </c>
      <c r="AR696" s="769"/>
      <c r="AS696" s="769"/>
      <c r="AT696" s="769"/>
      <c r="BM696" s="335"/>
    </row>
    <row r="697" spans="1:65" ht="22.25" customHeight="1">
      <c r="A697" s="181">
        <f t="shared" si="227"/>
        <v>45292</v>
      </c>
      <c r="B697" s="486"/>
      <c r="C697" s="489" t="s">
        <v>158</v>
      </c>
      <c r="D697" s="522" t="e">
        <f>D695+1</f>
        <v>#NUM!</v>
      </c>
      <c r="E697" s="211" t="e">
        <f>DATE(YEAR(E696),MONTH(E696),DAY(E696)+1)</f>
        <v>#NUM!</v>
      </c>
      <c r="F697" s="227" t="e">
        <f t="shared" si="241"/>
        <v>#NUM!</v>
      </c>
      <c r="G697" s="228" t="e">
        <f t="shared" si="242"/>
        <v>#NUM!</v>
      </c>
      <c r="H697" s="227" t="e">
        <f t="shared" si="243"/>
        <v>#NUM!</v>
      </c>
      <c r="I697" s="231">
        <f>IF(J696&lt;13,J696,"")</f>
        <v>3</v>
      </c>
      <c r="J697" s="230">
        <f>J698+3</f>
        <v>9</v>
      </c>
      <c r="K697" s="501" t="str">
        <f t="shared" si="231"/>
        <v/>
      </c>
      <c r="L697" s="471"/>
      <c r="M697" s="473" t="e">
        <f ca="1">SUM(J690-E698)&amp;" Tage"</f>
        <v>#NUM!</v>
      </c>
      <c r="N697" s="216"/>
      <c r="O697" s="188"/>
      <c r="P697" s="188"/>
      <c r="Q697" s="217"/>
      <c r="R697" s="189"/>
      <c r="S697" s="190"/>
      <c r="T697" s="190"/>
      <c r="U697" s="191"/>
      <c r="V697" s="192"/>
      <c r="W697" s="190"/>
      <c r="X697" s="190"/>
      <c r="Y697" s="191"/>
      <c r="Z697" s="192"/>
      <c r="AA697" s="190"/>
      <c r="AB697" s="190"/>
      <c r="AC697" s="191"/>
      <c r="AD697" s="192"/>
      <c r="AE697" s="190"/>
      <c r="AF697" s="190"/>
      <c r="AG697" s="191"/>
      <c r="AH697" s="193"/>
      <c r="AI697" s="190"/>
      <c r="AJ697" s="190"/>
      <c r="AK697" s="374"/>
      <c r="AL697" s="348"/>
      <c r="AM697" s="354"/>
      <c r="AN697" s="354"/>
      <c r="AO697" s="354"/>
      <c r="AP697" s="354"/>
      <c r="AQ697" s="350"/>
      <c r="AR697" s="769"/>
      <c r="AS697" s="769"/>
      <c r="AT697" s="769"/>
      <c r="BM697" s="335"/>
    </row>
    <row r="698" spans="1:65" ht="22.25" customHeight="1">
      <c r="A698" s="181">
        <f t="shared" si="227"/>
        <v>45292</v>
      </c>
      <c r="B698" s="485"/>
      <c r="C698" s="490"/>
      <c r="D698" s="521"/>
      <c r="E698" s="218" t="e">
        <f>DATE(YEAR(E697),MONTH(E697)+3,DAY(E697)-1)</f>
        <v>#NUM!</v>
      </c>
      <c r="F698" s="227" t="e">
        <f t="shared" si="241"/>
        <v>#NUM!</v>
      </c>
      <c r="G698" s="228" t="e">
        <f t="shared" si="242"/>
        <v>#NUM!</v>
      </c>
      <c r="H698" s="227" t="e">
        <f t="shared" si="243"/>
        <v>#NUM!</v>
      </c>
      <c r="I698" s="231">
        <f>IF(J695&lt;13,J695,"")</f>
        <v>0</v>
      </c>
      <c r="J698" s="230">
        <f>J696+3</f>
        <v>6</v>
      </c>
      <c r="K698" s="501" t="str">
        <f t="shared" si="231"/>
        <v>+Inflat.-P</v>
      </c>
      <c r="L698" s="508" t="e">
        <f>IF(M689="Stufe A",IF(AND(L690="Auswahl treffen",D697&gt;=0,D697&lt;=1000),J689,IF(AND(L690="Vermögend und ambulant",D697&gt;8,D697&lt;=1000),130,IF(AND(L690="Vermögend und ambulant",D697&gt;4,D697&lt;=8),158,IF(AND(L690="Vermögend und ambulant",D697&gt;2,D697&lt;=4),192,IF(AND(L690="Vermögend und ambulant",D697&gt;1,D697&lt;=2),208,IF(AND(L690="Vermögend und ambulant",D697&gt;0,D697&lt;=1),298,IF(AND(L690="Vermögend und stationär",D697&gt;8,D697&lt;=1000),78,IF(AND(L690="Vermögend und stationär",D697&gt;4,D697&lt;=8),91,IF(AND(L690="Vermögend und stationär",D697&gt;2,D697&lt;=4),140,IF(AND(L690="Vermögend und stationär",D697&gt;1,D697&lt;=2),158,IF(AND(L690="Vermögend und stationär",D697&gt;0,D697&lt;=1),200,IF(AND(L690="Mittellos und ambulant",D697&gt;8,D697&lt;=1000),105,IF(AND(L690="Mittellos und ambulant",D697&gt;4,D697&lt;=8),122,IF(AND(L690="Mittellos und ambulant",D697&gt;2,D697&lt;=4),151,IF(AND(L690="Mittellos und ambulant",D697&gt;1,D697&lt;=2),170,IF(AND(L690="Mittellos und ambulant",D697&gt;0,D697&lt;=1),208,IF(AND(L690="Mittellos und stationär",D697&gt;8,D697&lt;=1000),62,IF(AND(L690="Mittellos und stationär",D697&gt;4,D697&lt;=8),87,IF(AND(L690="Mittellos und stationär",D697&gt;2,D697&lt;=4),124,IF(AND(L690="Mittellos und stationär",D697&gt;1,D697&lt;=2),129,IF(AND(L690="Mittellos und stationär",D697&gt;0,D697&lt;=1),194,""))))))))))))))))))))),IF(M689="Stufe B",IF(AND(L690="Auswahl treffen",D697&gt;=0,D697&lt;=1000),J689,IF(AND(L690="Vermögend und ambulant",D697&gt;8,D697&lt;=1000),161,IF(AND(L690="Vermögend und ambulant",D697&gt;4,D697&lt;=8),196,IF(AND(L690="Vermögend und ambulant",D697&gt;2,D697&lt;=4),238,IF(AND(L690="Vermögend und ambulant",D697&gt;1,D697&lt;=2),258,IF(AND(L690="Vermögend und ambulant",D697&gt;0,D697&lt;=1),370,IF(AND(L690="Vermögend und stationär",D697&gt;8,D697&lt;=1000),96,IF(AND(L690="Vermögend und stationär",D697&gt;4,D697&lt;=8),113,IF(AND(L690="Vermögend und stationär",D697&gt;2,D697&lt;=4),174,IF(AND(L690="Vermögend und stationär",D697&gt;1,D697&lt;=2),196,IF(AND(L690="Vermögend und stationär",D697&gt;0,D697&lt;=1),249,IF(AND(L690="Mittellos und ambulant",D697&gt;8,D697&lt;=1000),130,IF(AND(L690="Mittellos und ambulant",D697&gt;4,D697&lt;=8),151,IF(AND(L690="Mittellos und ambulant",D697&gt;2,D697&lt;=4),188,IF(AND(L690="Mittellos und ambulant",D697&gt;1,D697&lt;=2),211,IF(AND(L690="Mittellos und ambulant",D697&gt;0,D697&lt;=1),258,IF(AND(L690="Mittellos und stationär",D697&gt;8,D697&lt;=1000),78,IF(AND(L690="Mittellos und stationär",D697&gt;4,D697&lt;=8),107,IF(AND(L690="Mittellos und stationär",D697&gt;2,D697&lt;=4),154,IF(AND(L690="Mittellos und stationär",D697&gt;1,D697&lt;=2),158,IF(AND(L690="Mittellos und stationär",D697&gt;0,D697&lt;=1),241,""))))))))))))))))))))),IF(M689="Stufe C",IF(AND(L690="Auswahl treffen",D697&gt;=0,D697&lt;=1000),J689,IF(AND(L690="Vermögend und ambulant",D697&gt;8,D697&lt;=1000),211,IF(AND(L690="Vermögend und ambulant",D697&gt;4,D697&lt;=8),257,IF(AND(L690="Vermögend und ambulant",D697&gt;2,D697&lt;=4),312,IF(AND(L690="Vermögend und ambulant",D697&gt;1,D697&lt;=2),339,IF(AND(L690="Vermögend und ambulant",D697&gt;0,D697&lt;=1),486,IF(AND(L690="Vermögend und stationär",D697&gt;8,D697&lt;=1000),127,IF(AND(L690="Vermögend und stationär",D697&gt;4,D697&lt;=8),149,IF(AND(L690="Vermögend und stationär",D697&gt;2,D697&lt;=4),229,IF(AND(L690="Vermögend und stationär",D697&gt;1,D697&lt;=2),257,IF(AND(L690="Vermögend und stationär",D697&gt;0,D697&lt;=1),327,IF(AND(L690="Mittellos und ambulant",D697&gt;8,D697&lt;=1000),171,IF(AND(L690="Mittellos und ambulant",D697&gt;4,D697&lt;=8),198,IF(AND(L690="Mittellos und ambulant",D697&gt;2,D697&lt;=4),246,IF(AND(L690="Mittellos und ambulant",D697&gt;1,D697&lt;=2),277,IF(AND(L690="Mittellos und ambulant",D697&gt;0,D697&lt;=1),339,IF(AND(L690="Mittellos und stationär",D697&gt;8,D697&lt;=1000),102,IF(AND(L690="Mittellos und stationär",D697&gt;4,D697&lt;=8),141,IF(AND(L690="Mittellos und stationär",D697&gt;2,D697&lt;=4),202,IF(AND(L690="Mittellos und stationär",D697&gt;1,D697&lt;=2),208,IF(AND(L690="Mittellos und stationär",D697&gt;0,D697&lt;=1),317,""))))))))))))))))))))),"")))*3+(J689*90)</f>
        <v>#NUM!</v>
      </c>
      <c r="M698" s="507" t="str">
        <f>CONCATENATE(K698, K697)</f>
        <v>+Inflat.-P</v>
      </c>
      <c r="N698" s="216"/>
      <c r="O698" s="188"/>
      <c r="P698" s="188"/>
      <c r="Q698" s="217" t="s">
        <v>118</v>
      </c>
      <c r="R698" s="189"/>
      <c r="S698" s="190"/>
      <c r="T698" s="190"/>
      <c r="U698" s="191"/>
      <c r="V698" s="192"/>
      <c r="W698" s="190"/>
      <c r="X698" s="190"/>
      <c r="Y698" s="191"/>
      <c r="Z698" s="192"/>
      <c r="AA698" s="190"/>
      <c r="AB698" s="190"/>
      <c r="AC698" s="191"/>
      <c r="AD698" s="192"/>
      <c r="AE698" s="190" t="s">
        <v>118</v>
      </c>
      <c r="AF698" s="190" t="s">
        <v>117</v>
      </c>
      <c r="AG698" s="191" t="s">
        <v>26</v>
      </c>
      <c r="AH698" s="193"/>
      <c r="AI698" s="190" t="s">
        <v>118</v>
      </c>
      <c r="AJ698" s="190" t="s">
        <v>117</v>
      </c>
      <c r="AK698" s="374" t="s">
        <v>26</v>
      </c>
      <c r="AL698" s="348" t="s">
        <v>151</v>
      </c>
      <c r="AM698" s="354"/>
      <c r="AN698" s="354"/>
      <c r="AO698" s="354"/>
      <c r="AP698" s="354">
        <f>IF(SUM(Q690:Q698)=SUM(AE690:AE698,AI690:AI698), 0, SUM(Q690:Q698)-SUM(AE690:AE698,AI690:AI698))</f>
        <v>0</v>
      </c>
      <c r="AQ698" s="350">
        <f>AM698+AN698+AO698+AP698</f>
        <v>0</v>
      </c>
      <c r="AR698" s="769"/>
      <c r="AS698" s="769"/>
      <c r="AT698" s="769"/>
      <c r="BM698" s="335"/>
    </row>
    <row r="699" spans="1:65" ht="22" customHeight="1">
      <c r="A699" s="181">
        <f t="shared" si="227"/>
        <v>45292</v>
      </c>
      <c r="B699" s="232" t="s">
        <v>74</v>
      </c>
      <c r="C699" s="233" t="s">
        <v>75</v>
      </c>
      <c r="D699" s="234" t="s">
        <v>76</v>
      </c>
      <c r="E699" s="235" t="s">
        <v>11</v>
      </c>
      <c r="F699" s="235" t="s">
        <v>4</v>
      </c>
      <c r="G699" s="235" t="s">
        <v>5</v>
      </c>
      <c r="H699" s="235" t="s">
        <v>6</v>
      </c>
      <c r="I699" s="236" t="s">
        <v>77</v>
      </c>
      <c r="J699" s="306"/>
      <c r="K699" s="506" t="str">
        <f t="shared" si="231"/>
        <v/>
      </c>
      <c r="L699" s="306" t="str">
        <f>IFERROR(VLOOKUP(B700,'Aktuelle Einnahmen'!A2:J104,10,0),"")</f>
        <v/>
      </c>
      <c r="M699" s="510" t="str">
        <f>M689</f>
        <v>Stufe C</v>
      </c>
      <c r="N699" s="237"/>
      <c r="O699" s="238"/>
      <c r="P699" s="238"/>
      <c r="Q699" s="239"/>
      <c r="R699" s="240"/>
      <c r="S699" s="241"/>
      <c r="T699" s="241"/>
      <c r="U699" s="242"/>
      <c r="V699" s="243"/>
      <c r="W699" s="241"/>
      <c r="X699" s="241"/>
      <c r="Y699" s="242"/>
      <c r="Z699" s="243"/>
      <c r="AA699" s="241"/>
      <c r="AB699" s="241"/>
      <c r="AC699" s="242"/>
      <c r="AD699" s="243"/>
      <c r="AE699" s="241"/>
      <c r="AF699" s="241"/>
      <c r="AG699" s="242"/>
      <c r="AH699" s="240"/>
      <c r="AI699" s="241"/>
      <c r="AJ699" s="241"/>
      <c r="AK699" s="377"/>
      <c r="AL699" s="347"/>
      <c r="AM699" s="353"/>
      <c r="AN699" s="353"/>
      <c r="AO699" s="353"/>
      <c r="AP699" s="353"/>
      <c r="AQ699" s="349"/>
      <c r="AR699" s="768"/>
      <c r="AS699" s="768"/>
      <c r="AT699" s="768"/>
      <c r="BM699" s="335"/>
    </row>
    <row r="700" spans="1:65" ht="23" customHeight="1">
      <c r="A700" s="181">
        <f t="shared" si="227"/>
        <v>45292</v>
      </c>
      <c r="B700" s="182">
        <v>70</v>
      </c>
      <c r="C700" s="245">
        <f>IFERROR(VLOOKUP($B700,'Aktuelle Einnahmen'!A2:G104,3,0),"")</f>
        <v>0</v>
      </c>
      <c r="D700" s="246">
        <f>IFERROR(VLOOKUP($B700,'Aktuelle Einnahmen'!A2:G104,2,0),"")</f>
        <v>0</v>
      </c>
      <c r="E700" s="247">
        <f>IFERROR(VLOOKUP($B700,'Aktuelle Einnahmen'!A2:G104,4,0),"")</f>
        <v>0</v>
      </c>
      <c r="F700" s="94">
        <f>IFERROR(VLOOKUP($B700,'Aktuelle Einnahmen'!A2:G104,5,0),"")</f>
        <v>0</v>
      </c>
      <c r="G700" s="94">
        <f>IFERROR(VLOOKUP($B700,'Aktuelle Einnahmen'!A2:G104,6,0),"")</f>
        <v>0</v>
      </c>
      <c r="H700" s="94">
        <f>IFERROR(VLOOKUP($B700,'Aktuelle Einnahmen'!A2:G104,7,0),"")</f>
        <v>0</v>
      </c>
      <c r="I700" s="186" t="e">
        <f>DATE(H700,G700,F700)</f>
        <v>#NUM!</v>
      </c>
      <c r="J700" s="472">
        <f ca="1">J690</f>
        <v>45475</v>
      </c>
      <c r="K700" s="501" t="str">
        <f t="shared" si="231"/>
        <v>+Inflat.-P</v>
      </c>
      <c r="L700" s="1262" t="str">
        <f>IFERROR(VLOOKUP(B700,'Aktuelle Einnahmen'!A22:I124,9,0),"")</f>
        <v>Auswahl treffen</v>
      </c>
      <c r="M700" s="1263"/>
      <c r="N700" s="261"/>
      <c r="O700" s="261"/>
      <c r="P700" s="261"/>
      <c r="Q700" s="261"/>
      <c r="R700" s="189"/>
      <c r="S700" s="190"/>
      <c r="T700" s="190"/>
      <c r="U700" s="191"/>
      <c r="V700" s="192"/>
      <c r="W700" s="190"/>
      <c r="X700" s="190"/>
      <c r="Y700" s="191"/>
      <c r="Z700" s="192"/>
      <c r="AA700" s="190"/>
      <c r="AB700" s="190"/>
      <c r="AC700" s="191"/>
      <c r="AD700" s="192"/>
      <c r="AE700" s="190"/>
      <c r="AF700" s="190"/>
      <c r="AG700" s="191"/>
      <c r="AH700" s="193"/>
      <c r="AI700" s="190"/>
      <c r="AJ700" s="190"/>
      <c r="AK700" s="374"/>
      <c r="AL700" s="348"/>
      <c r="AM700" s="354"/>
      <c r="AN700" s="354"/>
      <c r="AO700" s="354"/>
      <c r="AP700" s="354"/>
      <c r="AQ700" s="350"/>
      <c r="AR700" s="769"/>
      <c r="AS700" s="769"/>
      <c r="AT700" s="769"/>
      <c r="BM700" s="335"/>
    </row>
    <row r="701" spans="1:65" ht="22.25" customHeight="1">
      <c r="A701" s="181">
        <f t="shared" si="227"/>
        <v>45292</v>
      </c>
      <c r="B701" s="484" t="e">
        <f>DAY(I700)</f>
        <v>#NUM!</v>
      </c>
      <c r="C701" s="489" t="s">
        <v>158</v>
      </c>
      <c r="D701" s="520" t="e">
        <f>(I701*4)+J701/3+1</f>
        <v>#NUM!</v>
      </c>
      <c r="E701" s="194" t="e">
        <f>J703+1</f>
        <v>#NUM!</v>
      </c>
      <c r="F701" s="195" t="e">
        <f t="shared" ref="F701:F708" si="244">DAY(E701)</f>
        <v>#NUM!</v>
      </c>
      <c r="G701" s="196" t="e">
        <f t="shared" ref="G701:G708" si="245">MONTH(E701)</f>
        <v>#NUM!</v>
      </c>
      <c r="H701" s="195" t="e">
        <f t="shared" ref="H701:H708" si="246">YEAR(E701)</f>
        <v>#NUM!</v>
      </c>
      <c r="I701" s="197" t="e">
        <f>H701-(H700+2000)</f>
        <v>#NUM!</v>
      </c>
      <c r="J701" s="198" t="e">
        <f>G701-G700</f>
        <v>#NUM!</v>
      </c>
      <c r="K701" s="506" t="str">
        <f>L699</f>
        <v/>
      </c>
      <c r="L701" s="469"/>
      <c r="M701" s="473" t="e">
        <f ca="1">SUM(J700-E702)&amp;" Tage"</f>
        <v>#NUM!</v>
      </c>
      <c r="N701" s="206"/>
      <c r="O701" s="201"/>
      <c r="P701" s="201"/>
      <c r="Q701" s="202"/>
      <c r="R701" s="189"/>
      <c r="S701" s="203"/>
      <c r="T701" s="203"/>
      <c r="U701" s="204"/>
      <c r="V701" s="192"/>
      <c r="W701" s="203"/>
      <c r="X701" s="203"/>
      <c r="Y701" s="204"/>
      <c r="Z701" s="192"/>
      <c r="AA701" s="203"/>
      <c r="AB701" s="203"/>
      <c r="AC701" s="204"/>
      <c r="AD701" s="192"/>
      <c r="AE701" s="203"/>
      <c r="AF701" s="203"/>
      <c r="AG701" s="204"/>
      <c r="AH701" s="193"/>
      <c r="AI701" s="203"/>
      <c r="AJ701" s="203"/>
      <c r="AK701" s="375"/>
      <c r="AL701" s="348"/>
      <c r="AM701" s="354"/>
      <c r="AN701" s="354"/>
      <c r="AO701" s="354"/>
      <c r="AP701" s="354"/>
      <c r="AQ701" s="350"/>
      <c r="AR701" s="769"/>
      <c r="AS701" s="769"/>
      <c r="AT701" s="769"/>
      <c r="BM701" s="335"/>
    </row>
    <row r="702" spans="1:65" ht="22.25" customHeight="1">
      <c r="A702" s="181">
        <f t="shared" si="227"/>
        <v>45292</v>
      </c>
      <c r="B702" s="485"/>
      <c r="C702" s="490"/>
      <c r="D702" s="521"/>
      <c r="E702" s="194" t="e">
        <f>DATE(YEAR(E701),MONTH(E701)+3,DAY(E701)-1)</f>
        <v>#NUM!</v>
      </c>
      <c r="F702" s="195" t="e">
        <f t="shared" si="244"/>
        <v>#NUM!</v>
      </c>
      <c r="G702" s="196" t="e">
        <f t="shared" si="245"/>
        <v>#NUM!</v>
      </c>
      <c r="H702" s="195" t="e">
        <f t="shared" si="246"/>
        <v>#NUM!</v>
      </c>
      <c r="I702" s="244">
        <v>-1</v>
      </c>
      <c r="J702" s="198" t="e">
        <f>F701-F700</f>
        <v>#NUM!</v>
      </c>
      <c r="K702" s="501" t="str">
        <f t="shared" si="231"/>
        <v>+Inflat.-P</v>
      </c>
      <c r="L702" s="511" t="e">
        <f>IF(M699="Stufe A",IF(AND(L700="Auswahl treffen",D701&gt;=0,D701&lt;=1000),J699,IF(AND(L700="Vermögend und ambulant",D701&gt;8,D701&lt;=1000),130,IF(AND(L700="Vermögend und ambulant",D701&gt;4,D701&lt;=8),158,IF(AND(L700="Vermögend und ambulant",D701&gt;2,D701&lt;=4),192,IF(AND(L700="Vermögend und ambulant",D701&gt;1,D701&lt;=2),208,IF(AND(L700="Vermögend und ambulant",D701&gt;0,D701&lt;=1),298,IF(AND(L700="Vermögend und stationär",D701&gt;8,D701&lt;=1000),78,IF(AND(L700="Vermögend und stationär",D701&gt;4,D701&lt;=8),91,IF(AND(L700="Vermögend und stationär",D701&gt;2,D701&lt;=4),140,IF(AND(L700="Vermögend und stationär",D701&gt;1,D701&lt;=2),158,IF(AND(L700="Vermögend und stationär",D701&gt;0,D701&lt;=1),200,IF(AND(L700="Mittellos und ambulant",D701&gt;8,D701&lt;=1000),105,IF(AND(L700="Mittellos und ambulant",D701&gt;4,D701&lt;=8),122,IF(AND(L700="Mittellos und ambulant",D701&gt;2,D701&lt;=4),151,IF(AND(L700="Mittellos und ambulant",D701&gt;1,D701&lt;=2),170,IF(AND(L700="Mittellos und ambulant",D701&gt;0,D701&lt;=1),208,IF(AND(L700="Mittellos und stationär",D701&gt;8,D701&lt;=1000),62,IF(AND(L700="Mittellos und stationär",D701&gt;4,D701&lt;=8),87,IF(AND(L700="Mittellos und stationär",D701&gt;2,D701&lt;=4),124,IF(AND(L700="Mittellos und stationär",D701&gt;1,D701&lt;=2),129,IF(AND(L700="Mittellos und stationär",D701&gt;0,D701&lt;=1),194,""))))))))))))))))))))),IF(M699="Stufe B",IF(AND(L700="Auswahl treffen",D701&gt;=0,D701&lt;=1000),J699,IF(AND(L700="Vermögend und ambulant",D701&gt;8,D701&lt;=1000),161,IF(AND(L700="Vermögend und ambulant",D701&gt;4,D701&lt;=8),196,IF(AND(L700="Vermögend und ambulant",D701&gt;2,D701&lt;=4),238,IF(AND(L700="Vermögend und ambulant",D701&gt;1,D701&lt;=2),258,IF(AND(L700="Vermögend und ambulant",D701&gt;0,D701&lt;=1),370,IF(AND(L700="Vermögend und stationär",D701&gt;8,D701&lt;=1000),96,IF(AND(L700="Vermögend und stationär",D701&gt;4,D701&lt;=8),113,IF(AND(L700="Vermögend und stationär",D701&gt;2,D701&lt;=4),174,IF(AND(L700="Vermögend und stationär",D701&gt;1,D701&lt;=2),196,IF(AND(L700="Vermögend und stationär",D701&gt;0,D701&lt;=1),249,IF(AND(L700="Mittellos und ambulant",D701&gt;8,D701&lt;=1000),130,IF(AND(L700="Mittellos und ambulant",D701&gt;4,D701&lt;=8),151,IF(AND(L700="Mittellos und ambulant",D701&gt;2,D701&lt;=4),188,IF(AND(L700="Mittellos und ambulant",D701&gt;1,D701&lt;=2),211,IF(AND(L700="Mittellos und ambulant",D701&gt;0,D701&lt;=1),258,IF(AND(L700="Mittellos und stationär",D701&gt;8,D701&lt;=1000),78,IF(AND(L700="Mittellos und stationär",D701&gt;4,D701&lt;=8),107,IF(AND(L700="Mittellos und stationär",D701&gt;2,D701&lt;=4),154,IF(AND(L700="Mittellos und stationär",D701&gt;1,D701&lt;=2),158,IF(AND(L700="Mittellos und stationär",D701&gt;0,D701&lt;=1),241,""))))))))))))))))))))),IF(M699="Stufe C",IF(AND(L700="Auswahl treffen",D701&gt;=0,D701&lt;=1000),J699,IF(AND(L700="Vermögend und ambulant",D701&gt;8,D701&lt;=1000),211,IF(AND(L700="Vermögend und ambulant",D701&gt;4,D701&lt;=8),257,IF(AND(L700="Vermögend und ambulant",D701&gt;2,D701&lt;=4),312,IF(AND(L700="Vermögend und ambulant",D701&gt;1,D701&lt;=2),339,IF(AND(L700="Vermögend und ambulant",D701&gt;0,D701&lt;=1),486,IF(AND(L700="Vermögend und stationär",D701&gt;8,D701&lt;=1000),127,IF(AND(L700="Vermögend und stationär",D701&gt;4,D701&lt;=8),149,IF(AND(L700="Vermögend und stationär",D701&gt;2,D701&lt;=4),229,IF(AND(L700="Vermögend und stationär",D701&gt;1,D701&lt;=2),257,IF(AND(L700="Vermögend und stationär",D701&gt;0,D701&lt;=1),327,IF(AND(L700="Mittellos und ambulant",D701&gt;8,D701&lt;=1000),171,IF(AND(L700="Mittellos und ambulant",D701&gt;4,D701&lt;=8),198,IF(AND(L700="Mittellos und ambulant",D701&gt;2,D701&lt;=4),246,IF(AND(L700="Mittellos und ambulant",D701&gt;1,D701&lt;=2),277,IF(AND(L700="Mittellos und ambulant",D701&gt;0,D701&lt;=1),339,IF(AND(L700="Mittellos und stationär",D701&gt;8,D701&lt;=1000),102,IF(AND(L700="Mittellos und stationär",D701&gt;4,D701&lt;=8),141,IF(AND(L700="Mittellos und stationär",D701&gt;2,D701&lt;=4),202,IF(AND(L700="Mittellos und stationär",D701&gt;1,D701&lt;=2),208,IF(AND(L700="Mittellos und stationär",D701&gt;0,D701&lt;=1),317,""))))))))))))))))))))),"")))*3+(J699*90)</f>
        <v>#NUM!</v>
      </c>
      <c r="M702" s="507" t="str">
        <f>CONCATENATE(K702, K701)</f>
        <v>+Inflat.-P</v>
      </c>
      <c r="N702" s="206" t="s">
        <v>118</v>
      </c>
      <c r="O702" s="207"/>
      <c r="P702" s="207"/>
      <c r="Q702" s="208"/>
      <c r="R702" s="187"/>
      <c r="S702" s="209" t="s">
        <v>118</v>
      </c>
      <c r="T702" s="201" t="s">
        <v>117</v>
      </c>
      <c r="U702" s="210" t="s">
        <v>26</v>
      </c>
      <c r="V702" s="192"/>
      <c r="W702" s="203"/>
      <c r="X702" s="203"/>
      <c r="Y702" s="210"/>
      <c r="Z702" s="192"/>
      <c r="AA702" s="203"/>
      <c r="AB702" s="203"/>
      <c r="AC702" s="210"/>
      <c r="AD702" s="192"/>
      <c r="AE702" s="203"/>
      <c r="AF702" s="203"/>
      <c r="AG702" s="210"/>
      <c r="AH702" s="193"/>
      <c r="AI702" s="203"/>
      <c r="AJ702" s="203"/>
      <c r="AK702" s="376"/>
      <c r="AL702" s="348" t="s">
        <v>148</v>
      </c>
      <c r="AM702" s="354">
        <f>IF(SUM(N700:N708)=SUM(S700:S708), 0, SUM(N700:N708)-SUM(S700:S708))</f>
        <v>0</v>
      </c>
      <c r="AN702" s="354"/>
      <c r="AO702" s="354"/>
      <c r="AP702" s="354"/>
      <c r="AQ702" s="350">
        <f>AM702+AN702+AO702+AP702</f>
        <v>0</v>
      </c>
      <c r="AR702" s="769"/>
      <c r="AS702" s="769"/>
      <c r="AT702" s="769"/>
      <c r="BM702" s="335"/>
    </row>
    <row r="703" spans="1:65" ht="22.25" customHeight="1">
      <c r="A703" s="181">
        <f t="shared" si="227"/>
        <v>45292</v>
      </c>
      <c r="B703" s="484" t="e">
        <f>MONTH(I700)</f>
        <v>#NUM!</v>
      </c>
      <c r="C703" s="489" t="s">
        <v>158</v>
      </c>
      <c r="D703" s="522" t="e">
        <f>D701+1</f>
        <v>#NUM!</v>
      </c>
      <c r="E703" s="211" t="e">
        <f>DATE(YEAR(E702),MONTH(E702),DAY(E702)+1)</f>
        <v>#NUM!</v>
      </c>
      <c r="F703" s="212" t="e">
        <f t="shared" si="244"/>
        <v>#NUM!</v>
      </c>
      <c r="G703" s="213" t="e">
        <f t="shared" si="245"/>
        <v>#NUM!</v>
      </c>
      <c r="H703" s="212" t="e">
        <f t="shared" si="246"/>
        <v>#NUM!</v>
      </c>
      <c r="I703" s="214" t="str">
        <f>IF(D700&lt;&gt;0,"-1T","")</f>
        <v/>
      </c>
      <c r="J703" s="215" t="e">
        <f>DATE($B705,I704,$B701)</f>
        <v>#NUM!</v>
      </c>
      <c r="K703" s="506" t="str">
        <f t="shared" si="231"/>
        <v/>
      </c>
      <c r="L703" s="470"/>
      <c r="M703" s="473" t="e">
        <f ca="1">SUM(J700-E704)&amp;" Tage"</f>
        <v>#NUM!</v>
      </c>
      <c r="N703" s="216"/>
      <c r="O703" s="217"/>
      <c r="P703" s="188"/>
      <c r="Q703" s="217"/>
      <c r="R703" s="189"/>
      <c r="S703" s="190"/>
      <c r="T703" s="190"/>
      <c r="U703" s="191"/>
      <c r="V703" s="192"/>
      <c r="W703" s="190"/>
      <c r="X703" s="190"/>
      <c r="Y703" s="191"/>
      <c r="Z703" s="192"/>
      <c r="AA703" s="190"/>
      <c r="AB703" s="190"/>
      <c r="AC703" s="191"/>
      <c r="AD703" s="192"/>
      <c r="AE703" s="190"/>
      <c r="AF703" s="190"/>
      <c r="AG703" s="191"/>
      <c r="AH703" s="193"/>
      <c r="AI703" s="190"/>
      <c r="AJ703" s="190"/>
      <c r="AK703" s="374"/>
      <c r="AL703" s="348"/>
      <c r="AM703" s="354"/>
      <c r="AN703" s="354"/>
      <c r="AO703" s="354"/>
      <c r="AP703" s="354"/>
      <c r="AQ703" s="350"/>
      <c r="AR703" s="769"/>
      <c r="AS703" s="769"/>
      <c r="AT703" s="769"/>
      <c r="BM703" s="335"/>
    </row>
    <row r="704" spans="1:65" ht="22.25" customHeight="1">
      <c r="A704" s="181">
        <f t="shared" si="227"/>
        <v>45292</v>
      </c>
      <c r="B704" s="485"/>
      <c r="C704" s="490"/>
      <c r="D704" s="521"/>
      <c r="E704" s="218" t="e">
        <f>DATE(YEAR(E703),MONTH(E703)+3,DAY(E703)-1)</f>
        <v>#NUM!</v>
      </c>
      <c r="F704" s="212" t="e">
        <f t="shared" si="244"/>
        <v>#NUM!</v>
      </c>
      <c r="G704" s="213" t="e">
        <f t="shared" si="245"/>
        <v>#NUM!</v>
      </c>
      <c r="H704" s="212" t="e">
        <f t="shared" si="246"/>
        <v>#NUM!</v>
      </c>
      <c r="I704" s="219">
        <f>MAX(I705:I708)</f>
        <v>9</v>
      </c>
      <c r="J704" s="220" t="e">
        <f>DATE(YEAR(J703)+1,MONTH(J703),DAY(J703))</f>
        <v>#NUM!</v>
      </c>
      <c r="K704" s="501" t="str">
        <f t="shared" si="231"/>
        <v>+Inflat.-P</v>
      </c>
      <c r="L704" s="508" t="e">
        <f>IF(M699="Stufe A",IF(AND(L700="Auswahl treffen",D703&gt;=0,D703&lt;=1000),J699,IF(AND(L700="Vermögend und ambulant",D703&gt;8,D703&lt;=1000),130,IF(AND(L700="Vermögend und ambulant",D703&gt;4,D703&lt;=8),158,IF(AND(L700="Vermögend und ambulant",D703&gt;2,D703&lt;=4),192,IF(AND(L700="Vermögend und ambulant",D703&gt;1,D703&lt;=2),208,IF(AND(L700="Vermögend und ambulant",D703&gt;0,D703&lt;=1),298,IF(AND(L700="Vermögend und stationär",D703&gt;8,D703&lt;=1000),78,IF(AND(L700="Vermögend und stationär",D703&gt;4,D703&lt;=8),91,IF(AND(L700="Vermögend und stationär",D703&gt;2,D703&lt;=4),140,IF(AND(L700="Vermögend und stationär",D703&gt;1,D703&lt;=2),158,IF(AND(L700="Vermögend und stationär",D703&gt;0,D703&lt;=1),200,IF(AND(L700="Mittellos und ambulant",D703&gt;8,D703&lt;=1000),105,IF(AND(L700="Mittellos und ambulant",D703&gt;4,D703&lt;=8),122,IF(AND(L700="Mittellos und ambulant",D703&gt;2,D703&lt;=4),151,IF(AND(L700="Mittellos und ambulant",D703&gt;1,D703&lt;=2),170,IF(AND(L700="Mittellos und ambulant",D703&gt;0,D703&lt;=1),208,IF(AND(L700="Mittellos und stationär",D703&gt;8,D703&lt;=1000),62,IF(AND(L700="Mittellos und stationär",D703&gt;4,D703&lt;=8),87,IF(AND(L700="Mittellos und stationär",D703&gt;2,D703&lt;=4),124,IF(AND(L700="Mittellos und stationär",D703&gt;1,D703&lt;=2),129,IF(AND(L700="Mittellos und stationär",D703&gt;0,D703&lt;=1),194,""))))))))))))))))))))),IF(M699="Stufe B",IF(AND(L700="Auswahl treffen",D703&gt;=0,D703&lt;=1000),J699,IF(AND(L700="Vermögend und ambulant",D703&gt;8,D703&lt;=1000),161,IF(AND(L700="Vermögend und ambulant",D703&gt;4,D703&lt;=8),196,IF(AND(L700="Vermögend und ambulant",D703&gt;2,D703&lt;=4),238,IF(AND(L700="Vermögend und ambulant",D703&gt;1,D703&lt;=2),258,IF(AND(L700="Vermögend und ambulant",D703&gt;0,D703&lt;=1),370,IF(AND(L700="Vermögend und stationär",D703&gt;8,D703&lt;=1000),96,IF(AND(L700="Vermögend und stationär",D703&gt;4,D703&lt;=8),113,IF(AND(L700="Vermögend und stationär",D703&gt;2,D703&lt;=4),174,IF(AND(L700="Vermögend und stationär",D703&gt;1,D703&lt;=2),196,IF(AND(L700="Vermögend und stationär",D703&gt;0,D703&lt;=1),249,IF(AND(L700="Mittellos und ambulant",D703&gt;8,D703&lt;=1000),130,IF(AND(L700="Mittellos und ambulant",D703&gt;4,D703&lt;=8),151,IF(AND(L700="Mittellos und ambulant",D703&gt;2,D703&lt;=4),188,IF(AND(L700="Mittellos und ambulant",D703&gt;1,D703&lt;=2),211,IF(AND(L700="Mittellos und ambulant",D703&gt;0,D703&lt;=1),258,IF(AND(L700="Mittellos und stationär",D703&gt;8,D703&lt;=1000),78,IF(AND(L700="Mittellos und stationär",D703&gt;4,D703&lt;=8),107,IF(AND(L700="Mittellos und stationär",D703&gt;2,D703&lt;=4),154,IF(AND(L700="Mittellos und stationär",D703&gt;1,D703&lt;=2),158,IF(AND(L700="Mittellos und stationär",D703&gt;0,D703&lt;=1),241,""))))))))))))))))))))),IF(M699="Stufe C",IF(AND(L700="Auswahl treffen",D703&gt;=0,D703&lt;=1000),J699,IF(AND(L700="Vermögend und ambulant",D703&gt;8,D703&lt;=1000),211,IF(AND(L700="Vermögend und ambulant",D703&gt;4,D703&lt;=8),257,IF(AND(L700="Vermögend und ambulant",D703&gt;2,D703&lt;=4),312,IF(AND(L700="Vermögend und ambulant",D703&gt;1,D703&lt;=2),339,IF(AND(L700="Vermögend und ambulant",D703&gt;0,D703&lt;=1),486,IF(AND(L700="Vermögend und stationär",D703&gt;8,D703&lt;=1000),127,IF(AND(L700="Vermögend und stationär",D703&gt;4,D703&lt;=8),149,IF(AND(L700="Vermögend und stationär",D703&gt;2,D703&lt;=4),229,IF(AND(L700="Vermögend und stationär",D703&gt;1,D703&lt;=2),257,IF(AND(L700="Vermögend und stationär",D703&gt;0,D703&lt;=1),327,IF(AND(L700="Mittellos und ambulant",D703&gt;8,D703&lt;=1000),171,IF(AND(L700="Mittellos und ambulant",D703&gt;4,D703&lt;=8),198,IF(AND(L700="Mittellos und ambulant",D703&gt;2,D703&lt;=4),246,IF(AND(L700="Mittellos und ambulant",D703&gt;1,D703&lt;=2),277,IF(AND(L700="Mittellos und ambulant",D703&gt;0,D703&lt;=1),339,IF(AND(L700="Mittellos und stationär",D703&gt;8,D703&lt;=1000),102,IF(AND(L700="Mittellos und stationär",D703&gt;4,D703&lt;=8),141,IF(AND(L700="Mittellos und stationär",D703&gt;2,D703&lt;=4),202,IF(AND(L700="Mittellos und stationär",D703&gt;1,D703&lt;=2),208,IF(AND(L700="Mittellos und stationär",D703&gt;0,D703&lt;=1),317,""))))))))))))))))))))),"")))*3+(J699*90)</f>
        <v>#NUM!</v>
      </c>
      <c r="M704" s="507" t="str">
        <f>CONCATENATE(K704, K703)</f>
        <v>+Inflat.-P</v>
      </c>
      <c r="N704" s="216"/>
      <c r="O704" s="188" t="s">
        <v>118</v>
      </c>
      <c r="P704" s="188"/>
      <c r="Q704" s="221"/>
      <c r="R704" s="199"/>
      <c r="S704" s="190"/>
      <c r="T704" s="190"/>
      <c r="U704" s="191"/>
      <c r="V704" s="192"/>
      <c r="W704" s="222" t="s">
        <v>118</v>
      </c>
      <c r="X704" s="222" t="s">
        <v>117</v>
      </c>
      <c r="Y704" s="191" t="s">
        <v>26</v>
      </c>
      <c r="Z704" s="192"/>
      <c r="AA704" s="190"/>
      <c r="AB704" s="190"/>
      <c r="AC704" s="191"/>
      <c r="AD704" s="192"/>
      <c r="AE704" s="190"/>
      <c r="AF704" s="190"/>
      <c r="AG704" s="191"/>
      <c r="AH704" s="193"/>
      <c r="AI704" s="190"/>
      <c r="AJ704" s="190"/>
      <c r="AK704" s="374"/>
      <c r="AL704" s="348" t="s">
        <v>149</v>
      </c>
      <c r="AM704" s="354"/>
      <c r="AN704" s="354">
        <f>IF(SUM(O700:O708)=SUM(W700:W708), 0, SUM(O700:O708)-SUM(W700:W708))</f>
        <v>0</v>
      </c>
      <c r="AO704" s="354"/>
      <c r="AP704" s="354"/>
      <c r="AQ704" s="350">
        <f>AM704+AN704+AO704+AP704</f>
        <v>0</v>
      </c>
      <c r="AR704" s="769"/>
      <c r="AS704" s="769"/>
      <c r="AT704" s="769"/>
      <c r="BM704" s="335"/>
    </row>
    <row r="705" spans="1:65" ht="22.25" customHeight="1">
      <c r="A705" s="181">
        <f t="shared" si="227"/>
        <v>45292</v>
      </c>
      <c r="B705" s="484">
        <f>YEAR($A706)-1</f>
        <v>2023</v>
      </c>
      <c r="C705" s="489" t="s">
        <v>158</v>
      </c>
      <c r="D705" s="520" t="e">
        <f>D703+1</f>
        <v>#NUM!</v>
      </c>
      <c r="E705" s="194" t="e">
        <f>DATE(YEAR(E704),MONTH(E704),DAY(E704)+1)</f>
        <v>#NUM!</v>
      </c>
      <c r="F705" s="195" t="e">
        <f t="shared" si="244"/>
        <v>#NUM!</v>
      </c>
      <c r="G705" s="196" t="e">
        <f t="shared" si="245"/>
        <v>#NUM!</v>
      </c>
      <c r="H705" s="195" t="e">
        <f t="shared" si="246"/>
        <v>#NUM!</v>
      </c>
      <c r="I705" s="197">
        <f>IF(J707&lt;13,J707,"")</f>
        <v>9</v>
      </c>
      <c r="J705" s="224">
        <f>G700</f>
        <v>0</v>
      </c>
      <c r="K705" s="501" t="str">
        <f t="shared" si="231"/>
        <v/>
      </c>
      <c r="L705" s="471"/>
      <c r="M705" s="473" t="e">
        <f ca="1">SUM(J700-E706)&amp;" Tage"</f>
        <v>#NUM!</v>
      </c>
      <c r="N705" s="200"/>
      <c r="O705" s="201"/>
      <c r="P705" s="201"/>
      <c r="Q705" s="202"/>
      <c r="R705" s="189"/>
      <c r="S705" s="203"/>
      <c r="T705" s="203"/>
      <c r="U705" s="204"/>
      <c r="V705" s="192"/>
      <c r="W705" s="203"/>
      <c r="X705" s="203"/>
      <c r="Y705" s="204"/>
      <c r="Z705" s="192"/>
      <c r="AA705" s="203"/>
      <c r="AB705" s="203"/>
      <c r="AC705" s="204"/>
      <c r="AD705" s="192"/>
      <c r="AE705" s="203"/>
      <c r="AF705" s="203"/>
      <c r="AG705" s="204"/>
      <c r="AH705" s="193"/>
      <c r="AI705" s="203"/>
      <c r="AJ705" s="203"/>
      <c r="AK705" s="375"/>
      <c r="AL705" s="348"/>
      <c r="AM705" s="354"/>
      <c r="AN705" s="354"/>
      <c r="AO705" s="354"/>
      <c r="AP705" s="354"/>
      <c r="AQ705" s="350"/>
      <c r="AR705" s="769"/>
      <c r="AS705" s="769"/>
      <c r="AT705" s="769"/>
      <c r="BM705" s="335"/>
    </row>
    <row r="706" spans="1:65" ht="22.25" customHeight="1">
      <c r="A706" s="181">
        <f t="shared" si="227"/>
        <v>45292</v>
      </c>
      <c r="B706" s="485"/>
      <c r="C706" s="490"/>
      <c r="D706" s="521"/>
      <c r="E706" s="194" t="e">
        <f>DATE(YEAR(E705),MONTH(E705)+3,DAY(E705)-1)</f>
        <v>#NUM!</v>
      </c>
      <c r="F706" s="195" t="e">
        <f t="shared" si="244"/>
        <v>#NUM!</v>
      </c>
      <c r="G706" s="196" t="e">
        <f t="shared" si="245"/>
        <v>#NUM!</v>
      </c>
      <c r="H706" s="195" t="e">
        <f t="shared" si="246"/>
        <v>#NUM!</v>
      </c>
      <c r="I706" s="244">
        <f>IF(J708&lt;13,J708,"")</f>
        <v>6</v>
      </c>
      <c r="J706" s="224">
        <f>J705+3</f>
        <v>3</v>
      </c>
      <c r="K706" s="506" t="str">
        <f t="shared" si="231"/>
        <v>+Inflat.-P</v>
      </c>
      <c r="L706" s="511" t="e">
        <f>IF(M699="Stufe A",IF(AND(L700="Auswahl treffen",D705&gt;=0,D705&lt;=1000),J699,IF(AND(L700="Vermögend und ambulant",D705&gt;8,D705&lt;=1000),130,IF(AND(L700="Vermögend und ambulant",D705&gt;4,D705&lt;=8),158,IF(AND(L700="Vermögend und ambulant",D705&gt;2,D705&lt;=4),192,IF(AND(L700="Vermögend und ambulant",D705&gt;1,D705&lt;=2),208,IF(AND(L700="Vermögend und ambulant",D705&gt;0,D705&lt;=1),298,IF(AND(L700="Vermögend und stationär",D705&gt;8,D705&lt;=1000),78,IF(AND(L700="Vermögend und stationär",D705&gt;4,D705&lt;=8),91,IF(AND(L700="Vermögend und stationär",D705&gt;2,D705&lt;=4),140,IF(AND(L700="Vermögend und stationär",D705&gt;1,D705&lt;=2),158,IF(AND(L700="Vermögend und stationär",D705&gt;0,D705&lt;=1),200,IF(AND(L700="Mittellos und ambulant",D705&gt;8,D705&lt;=1000),105,IF(AND(L700="Mittellos und ambulant",D705&gt;4,D705&lt;=8),122,IF(AND(L700="Mittellos und ambulant",D705&gt;2,D705&lt;=4),151,IF(AND(L700="Mittellos und ambulant",D705&gt;1,D705&lt;=2),170,IF(AND(L700="Mittellos und ambulant",D705&gt;0,D705&lt;=1),208,IF(AND(L700="Mittellos und stationär",D705&gt;8,D705&lt;=1000),62,IF(AND(L700="Mittellos und stationär",D705&gt;4,D705&lt;=8),87,IF(AND(L700="Mittellos und stationär",D705&gt;2,D705&lt;=4),124,IF(AND(L700="Mittellos und stationär",D705&gt;1,D705&lt;=2),129,IF(AND(L700="Mittellos und stationär",D705&gt;0,D705&lt;=1),194,""))))))))))))))))))))),IF(M699="Stufe B",IF(AND(L700="Auswahl treffen",D705&gt;=0,D705&lt;=1000),J699,IF(AND(L700="Vermögend und ambulant",D705&gt;8,D705&lt;=1000),161,IF(AND(L700="Vermögend und ambulant",D705&gt;4,D705&lt;=8),196,IF(AND(L700="Vermögend und ambulant",D705&gt;2,D705&lt;=4),238,IF(AND(L700="Vermögend und ambulant",D705&gt;1,D705&lt;=2),258,IF(AND(L700="Vermögend und ambulant",D705&gt;0,D705&lt;=1),370,IF(AND(L700="Vermögend und stationär",D705&gt;8,D705&lt;=1000),96,IF(AND(L700="Vermögend und stationär",D705&gt;4,D705&lt;=8),113,IF(AND(L700="Vermögend und stationär",D705&gt;2,D705&lt;=4),174,IF(AND(L700="Vermögend und stationär",D705&gt;1,D705&lt;=2),196,IF(AND(L700="Vermögend und stationär",D705&gt;0,D705&lt;=1),249,IF(AND(L700="Mittellos und ambulant",D705&gt;8,D705&lt;=1000),130,IF(AND(L700="Mittellos und ambulant",D705&gt;4,D705&lt;=8),151,IF(AND(L700="Mittellos und ambulant",D705&gt;2,D705&lt;=4),188,IF(AND(L700="Mittellos und ambulant",D705&gt;1,D705&lt;=2),211,IF(AND(L700="Mittellos und ambulant",D705&gt;0,D705&lt;=1),258,IF(AND(L700="Mittellos und stationär",D705&gt;8,D705&lt;=1000),78,IF(AND(L700="Mittellos und stationär",D705&gt;4,D705&lt;=8),107,IF(AND(L700="Mittellos und stationär",D705&gt;2,D705&lt;=4),154,IF(AND(L700="Mittellos und stationär",D705&gt;1,D705&lt;=2),158,IF(AND(L700="Mittellos und stationär",D705&gt;0,D705&lt;=1),241,""))))))))))))))))))))),IF(M699="Stufe C",IF(AND(L700="Auswahl treffen",D705&gt;=0,D705&lt;=1000),J699,IF(AND(L700="Vermögend und ambulant",D705&gt;8,D705&lt;=1000),211,IF(AND(L700="Vermögend und ambulant",D705&gt;4,D705&lt;=8),257,IF(AND(L700="Vermögend und ambulant",D705&gt;2,D705&lt;=4),312,IF(AND(L700="Vermögend und ambulant",D705&gt;1,D705&lt;=2),339,IF(AND(L700="Vermögend und ambulant",D705&gt;0,D705&lt;=1),486,IF(AND(L700="Vermögend und stationär",D705&gt;8,D705&lt;=1000),127,IF(AND(L700="Vermögend und stationär",D705&gt;4,D705&lt;=8),149,IF(AND(L700="Vermögend und stationär",D705&gt;2,D705&lt;=4),229,IF(AND(L700="Vermögend und stationär",D705&gt;1,D705&lt;=2),257,IF(AND(L700="Vermögend und stationär",D705&gt;0,D705&lt;=1),327,IF(AND(L700="Mittellos und ambulant",D705&gt;8,D705&lt;=1000),171,IF(AND(L700="Mittellos und ambulant",D705&gt;4,D705&lt;=8),198,IF(AND(L700="Mittellos und ambulant",D705&gt;2,D705&lt;=4),246,IF(AND(L700="Mittellos und ambulant",D705&gt;1,D705&lt;=2),277,IF(AND(L700="Mittellos und ambulant",D705&gt;0,D705&lt;=1),339,IF(AND(L700="Mittellos und stationär",D705&gt;8,D705&lt;=1000),102,IF(AND(L700="Mittellos und stationär",D705&gt;4,D705&lt;=8),141,IF(AND(L700="Mittellos und stationär",D705&gt;2,D705&lt;=4),202,IF(AND(L700="Mittellos und stationär",D705&gt;1,D705&lt;=2),208,IF(AND(L700="Mittellos und stationär",D705&gt;0,D705&lt;=1),317,""))))))))))))))))))))),"")))*3+(J699*90)</f>
        <v>#NUM!</v>
      </c>
      <c r="M706" s="507" t="str">
        <f>CONCATENATE(K706, K705)</f>
        <v>+Inflat.-P</v>
      </c>
      <c r="N706" s="206"/>
      <c r="O706" s="207"/>
      <c r="P706" s="206" t="s">
        <v>118</v>
      </c>
      <c r="Q706" s="226"/>
      <c r="R706" s="189"/>
      <c r="S706" s="203"/>
      <c r="T706" s="203"/>
      <c r="U706" s="204"/>
      <c r="V706" s="192"/>
      <c r="W706" s="203"/>
      <c r="X706" s="203"/>
      <c r="Y706" s="204"/>
      <c r="Z706" s="192"/>
      <c r="AA706" s="209" t="s">
        <v>118</v>
      </c>
      <c r="AB706" s="209" t="s">
        <v>117</v>
      </c>
      <c r="AC706" s="204" t="s">
        <v>26</v>
      </c>
      <c r="AD706" s="192"/>
      <c r="AE706" s="203"/>
      <c r="AF706" s="203"/>
      <c r="AG706" s="204"/>
      <c r="AH706" s="193"/>
      <c r="AI706" s="203"/>
      <c r="AJ706" s="203"/>
      <c r="AK706" s="375"/>
      <c r="AL706" s="348" t="s">
        <v>150</v>
      </c>
      <c r="AM706" s="354"/>
      <c r="AN706" s="354"/>
      <c r="AO706" s="354">
        <f>IF(SUM(P700:P708)=SUM(AA700:AA708), 0, SUM(P700:P708)-SUM(AA700:AA708))</f>
        <v>0</v>
      </c>
      <c r="AP706" s="354"/>
      <c r="AQ706" s="350">
        <f>AM706+AN706+AO706+AP706</f>
        <v>0</v>
      </c>
      <c r="AR706" s="769"/>
      <c r="AS706" s="769"/>
      <c r="AT706" s="769"/>
      <c r="BM706" s="335"/>
    </row>
    <row r="707" spans="1:65" ht="22.25" customHeight="1">
      <c r="A707" s="181">
        <f t="shared" si="227"/>
        <v>45292</v>
      </c>
      <c r="B707" s="486"/>
      <c r="C707" s="489" t="s">
        <v>158</v>
      </c>
      <c r="D707" s="522" t="e">
        <f>D705+1</f>
        <v>#NUM!</v>
      </c>
      <c r="E707" s="211" t="e">
        <f>DATE(YEAR(E706),MONTH(E706),DAY(E706)+1)</f>
        <v>#NUM!</v>
      </c>
      <c r="F707" s="227" t="e">
        <f t="shared" si="244"/>
        <v>#NUM!</v>
      </c>
      <c r="G707" s="228" t="e">
        <f t="shared" si="245"/>
        <v>#NUM!</v>
      </c>
      <c r="H707" s="227" t="e">
        <f t="shared" si="246"/>
        <v>#NUM!</v>
      </c>
      <c r="I707" s="231">
        <f>IF(J706&lt;13,J706,"")</f>
        <v>3</v>
      </c>
      <c r="J707" s="230">
        <f>J708+3</f>
        <v>9</v>
      </c>
      <c r="K707" s="501" t="str">
        <f t="shared" si="231"/>
        <v/>
      </c>
      <c r="L707" s="471"/>
      <c r="M707" s="473" t="e">
        <f ca="1">SUM(J700-E708)&amp;" Tage"</f>
        <v>#NUM!</v>
      </c>
      <c r="N707" s="216"/>
      <c r="O707" s="188"/>
      <c r="P707" s="188"/>
      <c r="Q707" s="217"/>
      <c r="R707" s="189"/>
      <c r="S707" s="190"/>
      <c r="T707" s="190"/>
      <c r="U707" s="191"/>
      <c r="V707" s="192"/>
      <c r="W707" s="190"/>
      <c r="X707" s="190"/>
      <c r="Y707" s="191"/>
      <c r="Z707" s="192"/>
      <c r="AA707" s="190"/>
      <c r="AB707" s="190"/>
      <c r="AC707" s="191"/>
      <c r="AD707" s="192"/>
      <c r="AE707" s="190"/>
      <c r="AF707" s="190"/>
      <c r="AG707" s="191"/>
      <c r="AH707" s="193"/>
      <c r="AI707" s="190"/>
      <c r="AJ707" s="190"/>
      <c r="AK707" s="374"/>
      <c r="AL707" s="348"/>
      <c r="AM707" s="354"/>
      <c r="AN707" s="354"/>
      <c r="AO707" s="354"/>
      <c r="AP707" s="354"/>
      <c r="AQ707" s="350"/>
      <c r="AR707" s="769"/>
      <c r="AS707" s="769"/>
      <c r="AT707" s="769"/>
      <c r="BM707" s="335"/>
    </row>
    <row r="708" spans="1:65" ht="22.25" customHeight="1">
      <c r="A708" s="181">
        <f t="shared" si="227"/>
        <v>45292</v>
      </c>
      <c r="B708" s="485"/>
      <c r="C708" s="490"/>
      <c r="D708" s="521"/>
      <c r="E708" s="218" t="e">
        <f>DATE(YEAR(E707),MONTH(E707)+3,DAY(E707)-1)</f>
        <v>#NUM!</v>
      </c>
      <c r="F708" s="227" t="e">
        <f t="shared" si="244"/>
        <v>#NUM!</v>
      </c>
      <c r="G708" s="228" t="e">
        <f t="shared" si="245"/>
        <v>#NUM!</v>
      </c>
      <c r="H708" s="227" t="e">
        <f t="shared" si="246"/>
        <v>#NUM!</v>
      </c>
      <c r="I708" s="231">
        <f>IF(J705&lt;13,J705,"")</f>
        <v>0</v>
      </c>
      <c r="J708" s="230">
        <f>J706+3</f>
        <v>6</v>
      </c>
      <c r="K708" s="506" t="str">
        <f t="shared" si="231"/>
        <v>+Inflat.-P</v>
      </c>
      <c r="L708" s="508" t="e">
        <f>IF(M699="Stufe A",IF(AND(L700="Auswahl treffen",D707&gt;=0,D707&lt;=1000),J699,IF(AND(L700="Vermögend und ambulant",D707&gt;8,D707&lt;=1000),130,IF(AND(L700="Vermögend und ambulant",D707&gt;4,D707&lt;=8),158,IF(AND(L700="Vermögend und ambulant",D707&gt;2,D707&lt;=4),192,IF(AND(L700="Vermögend und ambulant",D707&gt;1,D707&lt;=2),208,IF(AND(L700="Vermögend und ambulant",D707&gt;0,D707&lt;=1),298,IF(AND(L700="Vermögend und stationär",D707&gt;8,D707&lt;=1000),78,IF(AND(L700="Vermögend und stationär",D707&gt;4,D707&lt;=8),91,IF(AND(L700="Vermögend und stationär",D707&gt;2,D707&lt;=4),140,IF(AND(L700="Vermögend und stationär",D707&gt;1,D707&lt;=2),158,IF(AND(L700="Vermögend und stationär",D707&gt;0,D707&lt;=1),200,IF(AND(L700="Mittellos und ambulant",D707&gt;8,D707&lt;=1000),105,IF(AND(L700="Mittellos und ambulant",D707&gt;4,D707&lt;=8),122,IF(AND(L700="Mittellos und ambulant",D707&gt;2,D707&lt;=4),151,IF(AND(L700="Mittellos und ambulant",D707&gt;1,D707&lt;=2),170,IF(AND(L700="Mittellos und ambulant",D707&gt;0,D707&lt;=1),208,IF(AND(L700="Mittellos und stationär",D707&gt;8,D707&lt;=1000),62,IF(AND(L700="Mittellos und stationär",D707&gt;4,D707&lt;=8),87,IF(AND(L700="Mittellos und stationär",D707&gt;2,D707&lt;=4),124,IF(AND(L700="Mittellos und stationär",D707&gt;1,D707&lt;=2),129,IF(AND(L700="Mittellos und stationär",D707&gt;0,D707&lt;=1),194,""))))))))))))))))))))),IF(M699="Stufe B",IF(AND(L700="Auswahl treffen",D707&gt;=0,D707&lt;=1000),J699,IF(AND(L700="Vermögend und ambulant",D707&gt;8,D707&lt;=1000),161,IF(AND(L700="Vermögend und ambulant",D707&gt;4,D707&lt;=8),196,IF(AND(L700="Vermögend und ambulant",D707&gt;2,D707&lt;=4),238,IF(AND(L700="Vermögend und ambulant",D707&gt;1,D707&lt;=2),258,IF(AND(L700="Vermögend und ambulant",D707&gt;0,D707&lt;=1),370,IF(AND(L700="Vermögend und stationär",D707&gt;8,D707&lt;=1000),96,IF(AND(L700="Vermögend und stationär",D707&gt;4,D707&lt;=8),113,IF(AND(L700="Vermögend und stationär",D707&gt;2,D707&lt;=4),174,IF(AND(L700="Vermögend und stationär",D707&gt;1,D707&lt;=2),196,IF(AND(L700="Vermögend und stationär",D707&gt;0,D707&lt;=1),249,IF(AND(L700="Mittellos und ambulant",D707&gt;8,D707&lt;=1000),130,IF(AND(L700="Mittellos und ambulant",D707&gt;4,D707&lt;=8),151,IF(AND(L700="Mittellos und ambulant",D707&gt;2,D707&lt;=4),188,IF(AND(L700="Mittellos und ambulant",D707&gt;1,D707&lt;=2),211,IF(AND(L700="Mittellos und ambulant",D707&gt;0,D707&lt;=1),258,IF(AND(L700="Mittellos und stationär",D707&gt;8,D707&lt;=1000),78,IF(AND(L700="Mittellos und stationär",D707&gt;4,D707&lt;=8),107,IF(AND(L700="Mittellos und stationär",D707&gt;2,D707&lt;=4),154,IF(AND(L700="Mittellos und stationär",D707&gt;1,D707&lt;=2),158,IF(AND(L700="Mittellos und stationär",D707&gt;0,D707&lt;=1),241,""))))))))))))))))))))),IF(M699="Stufe C",IF(AND(L700="Auswahl treffen",D707&gt;=0,D707&lt;=1000),J699,IF(AND(L700="Vermögend und ambulant",D707&gt;8,D707&lt;=1000),211,IF(AND(L700="Vermögend und ambulant",D707&gt;4,D707&lt;=8),257,IF(AND(L700="Vermögend und ambulant",D707&gt;2,D707&lt;=4),312,IF(AND(L700="Vermögend und ambulant",D707&gt;1,D707&lt;=2),339,IF(AND(L700="Vermögend und ambulant",D707&gt;0,D707&lt;=1),486,IF(AND(L700="Vermögend und stationär",D707&gt;8,D707&lt;=1000),127,IF(AND(L700="Vermögend und stationär",D707&gt;4,D707&lt;=8),149,IF(AND(L700="Vermögend und stationär",D707&gt;2,D707&lt;=4),229,IF(AND(L700="Vermögend und stationär",D707&gt;1,D707&lt;=2),257,IF(AND(L700="Vermögend und stationär",D707&gt;0,D707&lt;=1),327,IF(AND(L700="Mittellos und ambulant",D707&gt;8,D707&lt;=1000),171,IF(AND(L700="Mittellos und ambulant",D707&gt;4,D707&lt;=8),198,IF(AND(L700="Mittellos und ambulant",D707&gt;2,D707&lt;=4),246,IF(AND(L700="Mittellos und ambulant",D707&gt;1,D707&lt;=2),277,IF(AND(L700="Mittellos und ambulant",D707&gt;0,D707&lt;=1),339,IF(AND(L700="Mittellos und stationär",D707&gt;8,D707&lt;=1000),102,IF(AND(L700="Mittellos und stationär",D707&gt;4,D707&lt;=8),141,IF(AND(L700="Mittellos und stationär",D707&gt;2,D707&lt;=4),202,IF(AND(L700="Mittellos und stationär",D707&gt;1,D707&lt;=2),208,IF(AND(L700="Mittellos und stationär",D707&gt;0,D707&lt;=1),317,""))))))))))))))))))))),"")))*3+(J699*90)</f>
        <v>#NUM!</v>
      </c>
      <c r="M708" s="507" t="str">
        <f>CONCATENATE(K708, K707)</f>
        <v>+Inflat.-P</v>
      </c>
      <c r="N708" s="216"/>
      <c r="O708" s="188"/>
      <c r="P708" s="188"/>
      <c r="Q708" s="217" t="s">
        <v>118</v>
      </c>
      <c r="R708" s="189"/>
      <c r="S708" s="190"/>
      <c r="T708" s="190"/>
      <c r="U708" s="191"/>
      <c r="V708" s="192"/>
      <c r="W708" s="190"/>
      <c r="X708" s="190"/>
      <c r="Y708" s="191"/>
      <c r="Z708" s="192"/>
      <c r="AA708" s="190"/>
      <c r="AB708" s="190"/>
      <c r="AC708" s="191"/>
      <c r="AD708" s="192"/>
      <c r="AE708" s="190" t="s">
        <v>118</v>
      </c>
      <c r="AF708" s="190" t="s">
        <v>117</v>
      </c>
      <c r="AG708" s="191" t="s">
        <v>26</v>
      </c>
      <c r="AH708" s="193"/>
      <c r="AI708" s="190" t="s">
        <v>118</v>
      </c>
      <c r="AJ708" s="190" t="s">
        <v>117</v>
      </c>
      <c r="AK708" s="374" t="s">
        <v>26</v>
      </c>
      <c r="AL708" s="348" t="s">
        <v>151</v>
      </c>
      <c r="AM708" s="354"/>
      <c r="AN708" s="354"/>
      <c r="AO708" s="354"/>
      <c r="AP708" s="354">
        <f>IF(SUM(Q700:Q708)=SUM(AE700:AE708,AI700:AI708), 0, SUM(Q700:Q708)-SUM(AE700:AE708,AI700:AI708))</f>
        <v>0</v>
      </c>
      <c r="AQ708" s="350">
        <f>AM708+AN708+AO708+AP708</f>
        <v>0</v>
      </c>
      <c r="AR708" s="769"/>
      <c r="AS708" s="769"/>
      <c r="AT708" s="769"/>
      <c r="BM708" s="335"/>
    </row>
    <row r="709" spans="1:65" ht="22" customHeight="1">
      <c r="A709" s="181">
        <f t="shared" si="227"/>
        <v>45292</v>
      </c>
      <c r="B709" s="232" t="s">
        <v>74</v>
      </c>
      <c r="C709" s="233" t="s">
        <v>75</v>
      </c>
      <c r="D709" s="234" t="s">
        <v>76</v>
      </c>
      <c r="E709" s="235" t="s">
        <v>11</v>
      </c>
      <c r="F709" s="235" t="s">
        <v>4</v>
      </c>
      <c r="G709" s="235" t="s">
        <v>5</v>
      </c>
      <c r="H709" s="235" t="s">
        <v>6</v>
      </c>
      <c r="I709" s="236" t="s">
        <v>77</v>
      </c>
      <c r="J709" s="306"/>
      <c r="K709" s="501" t="str">
        <f t="shared" si="231"/>
        <v/>
      </c>
      <c r="L709" s="306" t="str">
        <f>IFERROR(VLOOKUP(B710,'Aktuelle Einnahmen'!A2:J104,10,0),"")</f>
        <v/>
      </c>
      <c r="M709" s="510" t="str">
        <f>M699</f>
        <v>Stufe C</v>
      </c>
      <c r="N709" s="237"/>
      <c r="O709" s="238"/>
      <c r="P709" s="238"/>
      <c r="Q709" s="239"/>
      <c r="R709" s="240"/>
      <c r="S709" s="241"/>
      <c r="T709" s="241"/>
      <c r="U709" s="242"/>
      <c r="V709" s="243"/>
      <c r="W709" s="241"/>
      <c r="X709" s="241"/>
      <c r="Y709" s="242"/>
      <c r="Z709" s="243"/>
      <c r="AA709" s="241"/>
      <c r="AB709" s="241"/>
      <c r="AC709" s="242"/>
      <c r="AD709" s="243"/>
      <c r="AE709" s="241"/>
      <c r="AF709" s="241"/>
      <c r="AG709" s="242"/>
      <c r="AH709" s="240"/>
      <c r="AI709" s="241"/>
      <c r="AJ709" s="241"/>
      <c r="AK709" s="377"/>
      <c r="AL709" s="347"/>
      <c r="AM709" s="353"/>
      <c r="AN709" s="353"/>
      <c r="AO709" s="353"/>
      <c r="AP709" s="353"/>
      <c r="AQ709" s="349"/>
      <c r="AR709" s="768"/>
      <c r="AS709" s="768"/>
      <c r="AT709" s="768"/>
      <c r="BM709" s="335"/>
    </row>
    <row r="710" spans="1:65" ht="23" customHeight="1">
      <c r="A710" s="181">
        <f t="shared" si="227"/>
        <v>45292</v>
      </c>
      <c r="B710" s="182">
        <v>71</v>
      </c>
      <c r="C710" s="245">
        <f>IFERROR(VLOOKUP($B710,'Aktuelle Einnahmen'!A2:G104,3,0),"")</f>
        <v>0</v>
      </c>
      <c r="D710" s="246">
        <f>IFERROR(VLOOKUP($B710,'Aktuelle Einnahmen'!A2:G104,2,0),"")</f>
        <v>0</v>
      </c>
      <c r="E710" s="247">
        <f>IFERROR(VLOOKUP($B710,'Aktuelle Einnahmen'!A2:G104,4,0),"")</f>
        <v>0</v>
      </c>
      <c r="F710" s="94">
        <f>IFERROR(VLOOKUP($B710,'Aktuelle Einnahmen'!A2:G104,5,0),"")</f>
        <v>0</v>
      </c>
      <c r="G710" s="94">
        <f>IFERROR(VLOOKUP($B710,'Aktuelle Einnahmen'!A2:G104,6,0),"")</f>
        <v>0</v>
      </c>
      <c r="H710" s="94">
        <f>IFERROR(VLOOKUP($B710,'Aktuelle Einnahmen'!A2:G104,7,0),"")</f>
        <v>0</v>
      </c>
      <c r="I710" s="186" t="e">
        <f>DATE(H710,G710,F710)</f>
        <v>#NUM!</v>
      </c>
      <c r="J710" s="472">
        <f ca="1">J700</f>
        <v>45475</v>
      </c>
      <c r="K710" s="506" t="str">
        <f t="shared" si="231"/>
        <v>+Inflat.-P</v>
      </c>
      <c r="L710" s="1262" t="str">
        <f>IFERROR(VLOOKUP(B710,'Aktuelle Einnahmen'!A22:I124,9,0),"")</f>
        <v>Auswahl treffen</v>
      </c>
      <c r="M710" s="1263"/>
      <c r="N710" s="261"/>
      <c r="O710" s="261"/>
      <c r="P710" s="261"/>
      <c r="Q710" s="261"/>
      <c r="R710" s="189"/>
      <c r="S710" s="190"/>
      <c r="T710" s="190"/>
      <c r="U710" s="191"/>
      <c r="V710" s="192"/>
      <c r="W710" s="190"/>
      <c r="X710" s="190"/>
      <c r="Y710" s="191"/>
      <c r="Z710" s="192"/>
      <c r="AA710" s="190"/>
      <c r="AB710" s="190"/>
      <c r="AC710" s="191"/>
      <c r="AD710" s="192"/>
      <c r="AE710" s="190"/>
      <c r="AF710" s="190"/>
      <c r="AG710" s="191"/>
      <c r="AH710" s="193"/>
      <c r="AI710" s="190"/>
      <c r="AJ710" s="190"/>
      <c r="AK710" s="374"/>
      <c r="AL710" s="348"/>
      <c r="AM710" s="354"/>
      <c r="AN710" s="354"/>
      <c r="AO710" s="354"/>
      <c r="AP710" s="354"/>
      <c r="AQ710" s="350"/>
      <c r="AR710" s="769"/>
      <c r="AS710" s="769"/>
      <c r="AT710" s="769"/>
      <c r="BM710" s="335"/>
    </row>
    <row r="711" spans="1:65" ht="22.25" customHeight="1">
      <c r="A711" s="181">
        <f t="shared" si="227"/>
        <v>45292</v>
      </c>
      <c r="B711" s="484" t="e">
        <f>DAY(I710)</f>
        <v>#NUM!</v>
      </c>
      <c r="C711" s="489" t="s">
        <v>158</v>
      </c>
      <c r="D711" s="520" t="e">
        <f>(I711*4)+J711/3+1</f>
        <v>#NUM!</v>
      </c>
      <c r="E711" s="194" t="e">
        <f>J713+1</f>
        <v>#NUM!</v>
      </c>
      <c r="F711" s="195" t="e">
        <f t="shared" ref="F711:F718" si="247">DAY(E711)</f>
        <v>#NUM!</v>
      </c>
      <c r="G711" s="196" t="e">
        <f t="shared" ref="G711:G718" si="248">MONTH(E711)</f>
        <v>#NUM!</v>
      </c>
      <c r="H711" s="195" t="e">
        <f t="shared" ref="H711:H718" si="249">YEAR(E711)</f>
        <v>#NUM!</v>
      </c>
      <c r="I711" s="197" t="e">
        <f>H711-(H710+2000)</f>
        <v>#NUM!</v>
      </c>
      <c r="J711" s="198" t="e">
        <f>G711-G710</f>
        <v>#NUM!</v>
      </c>
      <c r="K711" s="506" t="str">
        <f>L709</f>
        <v/>
      </c>
      <c r="L711" s="469"/>
      <c r="M711" s="473" t="e">
        <f ca="1">SUM(J710-E712)&amp;" Tage"</f>
        <v>#NUM!</v>
      </c>
      <c r="N711" s="206"/>
      <c r="O711" s="201"/>
      <c r="P711" s="201"/>
      <c r="Q711" s="202"/>
      <c r="R711" s="189"/>
      <c r="S711" s="203"/>
      <c r="T711" s="203"/>
      <c r="U711" s="204"/>
      <c r="V711" s="192"/>
      <c r="W711" s="203"/>
      <c r="X711" s="203"/>
      <c r="Y711" s="204"/>
      <c r="Z711" s="192"/>
      <c r="AA711" s="203"/>
      <c r="AB711" s="203"/>
      <c r="AC711" s="204"/>
      <c r="AD711" s="192"/>
      <c r="AE711" s="203"/>
      <c r="AF711" s="203"/>
      <c r="AG711" s="204"/>
      <c r="AH711" s="193"/>
      <c r="AI711" s="203"/>
      <c r="AJ711" s="203"/>
      <c r="AK711" s="375"/>
      <c r="AL711" s="348"/>
      <c r="AM711" s="354"/>
      <c r="AN711" s="354"/>
      <c r="AO711" s="354"/>
      <c r="AP711" s="354"/>
      <c r="AQ711" s="350"/>
      <c r="AR711" s="769"/>
      <c r="AS711" s="769"/>
      <c r="AT711" s="769"/>
      <c r="BM711" s="335"/>
    </row>
    <row r="712" spans="1:65" ht="22.25" customHeight="1">
      <c r="A712" s="181">
        <f t="shared" si="227"/>
        <v>45292</v>
      </c>
      <c r="B712" s="485"/>
      <c r="C712" s="490"/>
      <c r="D712" s="521"/>
      <c r="E712" s="194" t="e">
        <f>DATE(YEAR(E711),MONTH(E711)+3,DAY(E711)-1)</f>
        <v>#NUM!</v>
      </c>
      <c r="F712" s="195" t="e">
        <f t="shared" si="247"/>
        <v>#NUM!</v>
      </c>
      <c r="G712" s="196" t="e">
        <f t="shared" si="248"/>
        <v>#NUM!</v>
      </c>
      <c r="H712" s="195" t="e">
        <f t="shared" si="249"/>
        <v>#NUM!</v>
      </c>
      <c r="I712" s="244">
        <v>-1</v>
      </c>
      <c r="J712" s="198" t="e">
        <f>F711-F710</f>
        <v>#NUM!</v>
      </c>
      <c r="K712" s="501" t="str">
        <f t="shared" si="231"/>
        <v>+Inflat.-P</v>
      </c>
      <c r="L712" s="511" t="e">
        <f>IF(M709="Stufe A",IF(AND(L710="Auswahl treffen",D711&gt;=0,D711&lt;=1000),J709,IF(AND(L710="Vermögend und ambulant",D711&gt;8,D711&lt;=1000),130,IF(AND(L710="Vermögend und ambulant",D711&gt;4,D711&lt;=8),158,IF(AND(L710="Vermögend und ambulant",D711&gt;2,D711&lt;=4),192,IF(AND(L710="Vermögend und ambulant",D711&gt;1,D711&lt;=2),208,IF(AND(L710="Vermögend und ambulant",D711&gt;0,D711&lt;=1),298,IF(AND(L710="Vermögend und stationär",D711&gt;8,D711&lt;=1000),78,IF(AND(L710="Vermögend und stationär",D711&gt;4,D711&lt;=8),91,IF(AND(L710="Vermögend und stationär",D711&gt;2,D711&lt;=4),140,IF(AND(L710="Vermögend und stationär",D711&gt;1,D711&lt;=2),158,IF(AND(L710="Vermögend und stationär",D711&gt;0,D711&lt;=1),200,IF(AND(L710="Mittellos und ambulant",D711&gt;8,D711&lt;=1000),105,IF(AND(L710="Mittellos und ambulant",D711&gt;4,D711&lt;=8),122,IF(AND(L710="Mittellos und ambulant",D711&gt;2,D711&lt;=4),151,IF(AND(L710="Mittellos und ambulant",D711&gt;1,D711&lt;=2),170,IF(AND(L710="Mittellos und ambulant",D711&gt;0,D711&lt;=1),208,IF(AND(L710="Mittellos und stationär",D711&gt;8,D711&lt;=1000),62,IF(AND(L710="Mittellos und stationär",D711&gt;4,D711&lt;=8),87,IF(AND(L710="Mittellos und stationär",D711&gt;2,D711&lt;=4),124,IF(AND(L710="Mittellos und stationär",D711&gt;1,D711&lt;=2),129,IF(AND(L710="Mittellos und stationär",D711&gt;0,D711&lt;=1),194,""))))))))))))))))))))),IF(M709="Stufe B",IF(AND(L710="Auswahl treffen",D711&gt;=0,D711&lt;=1000),J709,IF(AND(L710="Vermögend und ambulant",D711&gt;8,D711&lt;=1000),161,IF(AND(L710="Vermögend und ambulant",D711&gt;4,D711&lt;=8),196,IF(AND(L710="Vermögend und ambulant",D711&gt;2,D711&lt;=4),238,IF(AND(L710="Vermögend und ambulant",D711&gt;1,D711&lt;=2),258,IF(AND(L710="Vermögend und ambulant",D711&gt;0,D711&lt;=1),370,IF(AND(L710="Vermögend und stationär",D711&gt;8,D711&lt;=1000),96,IF(AND(L710="Vermögend und stationär",D711&gt;4,D711&lt;=8),113,IF(AND(L710="Vermögend und stationär",D711&gt;2,D711&lt;=4),174,IF(AND(L710="Vermögend und stationär",D711&gt;1,D711&lt;=2),196,IF(AND(L710="Vermögend und stationär",D711&gt;0,D711&lt;=1),249,IF(AND(L710="Mittellos und ambulant",D711&gt;8,D711&lt;=1000),130,IF(AND(L710="Mittellos und ambulant",D711&gt;4,D711&lt;=8),151,IF(AND(L710="Mittellos und ambulant",D711&gt;2,D711&lt;=4),188,IF(AND(L710="Mittellos und ambulant",D711&gt;1,D711&lt;=2),211,IF(AND(L710="Mittellos und ambulant",D711&gt;0,D711&lt;=1),258,IF(AND(L710="Mittellos und stationär",D711&gt;8,D711&lt;=1000),78,IF(AND(L710="Mittellos und stationär",D711&gt;4,D711&lt;=8),107,IF(AND(L710="Mittellos und stationär",D711&gt;2,D711&lt;=4),154,IF(AND(L710="Mittellos und stationär",D711&gt;1,D711&lt;=2),158,IF(AND(L710="Mittellos und stationär",D711&gt;0,D711&lt;=1),241,""))))))))))))))))))))),IF(M709="Stufe C",IF(AND(L710="Auswahl treffen",D711&gt;=0,D711&lt;=1000),J709,IF(AND(L710="Vermögend und ambulant",D711&gt;8,D711&lt;=1000),211,IF(AND(L710="Vermögend und ambulant",D711&gt;4,D711&lt;=8),257,IF(AND(L710="Vermögend und ambulant",D711&gt;2,D711&lt;=4),312,IF(AND(L710="Vermögend und ambulant",D711&gt;1,D711&lt;=2),339,IF(AND(L710="Vermögend und ambulant",D711&gt;0,D711&lt;=1),486,IF(AND(L710="Vermögend und stationär",D711&gt;8,D711&lt;=1000),127,IF(AND(L710="Vermögend und stationär",D711&gt;4,D711&lt;=8),149,IF(AND(L710="Vermögend und stationär",D711&gt;2,D711&lt;=4),229,IF(AND(L710="Vermögend und stationär",D711&gt;1,D711&lt;=2),257,IF(AND(L710="Vermögend und stationär",D711&gt;0,D711&lt;=1),327,IF(AND(L710="Mittellos und ambulant",D711&gt;8,D711&lt;=1000),171,IF(AND(L710="Mittellos und ambulant",D711&gt;4,D711&lt;=8),198,IF(AND(L710="Mittellos und ambulant",D711&gt;2,D711&lt;=4),246,IF(AND(L710="Mittellos und ambulant",D711&gt;1,D711&lt;=2),277,IF(AND(L710="Mittellos und ambulant",D711&gt;0,D711&lt;=1),339,IF(AND(L710="Mittellos und stationär",D711&gt;8,D711&lt;=1000),102,IF(AND(L710="Mittellos und stationär",D711&gt;4,D711&lt;=8),141,IF(AND(L710="Mittellos und stationär",D711&gt;2,D711&lt;=4),202,IF(AND(L710="Mittellos und stationär",D711&gt;1,D711&lt;=2),208,IF(AND(L710="Mittellos und stationär",D711&gt;0,D711&lt;=1),317,""))))))))))))))))))))),"")))*3+(J709*90)</f>
        <v>#NUM!</v>
      </c>
      <c r="M712" s="507" t="str">
        <f>CONCATENATE(K712, K711)</f>
        <v>+Inflat.-P</v>
      </c>
      <c r="N712" s="206" t="s">
        <v>118</v>
      </c>
      <c r="O712" s="207"/>
      <c r="P712" s="207"/>
      <c r="Q712" s="208"/>
      <c r="R712" s="187"/>
      <c r="S712" s="209" t="s">
        <v>118</v>
      </c>
      <c r="T712" s="201" t="s">
        <v>117</v>
      </c>
      <c r="U712" s="210" t="s">
        <v>26</v>
      </c>
      <c r="V712" s="192"/>
      <c r="W712" s="203"/>
      <c r="X712" s="203"/>
      <c r="Y712" s="210"/>
      <c r="Z712" s="192"/>
      <c r="AA712" s="203"/>
      <c r="AB712" s="203"/>
      <c r="AC712" s="210"/>
      <c r="AD712" s="192"/>
      <c r="AE712" s="203"/>
      <c r="AF712" s="203"/>
      <c r="AG712" s="210"/>
      <c r="AH712" s="193"/>
      <c r="AI712" s="203"/>
      <c r="AJ712" s="203"/>
      <c r="AK712" s="376"/>
      <c r="AL712" s="348" t="s">
        <v>148</v>
      </c>
      <c r="AM712" s="354">
        <f>IF(SUM(N710:N718)=SUM(S710:S718), 0, SUM(N710:N718)-SUM(S710:S718))</f>
        <v>0</v>
      </c>
      <c r="AN712" s="354"/>
      <c r="AO712" s="354"/>
      <c r="AP712" s="354"/>
      <c r="AQ712" s="350">
        <f>AM712+AN712+AO712+AP712</f>
        <v>0</v>
      </c>
      <c r="AR712" s="769"/>
      <c r="AS712" s="769"/>
      <c r="AT712" s="769"/>
      <c r="BM712" s="335"/>
    </row>
    <row r="713" spans="1:65" ht="22.25" customHeight="1">
      <c r="A713" s="181">
        <f t="shared" ref="A713:A776" si="250">$A712</f>
        <v>45292</v>
      </c>
      <c r="B713" s="484" t="e">
        <f>MONTH(I710)</f>
        <v>#NUM!</v>
      </c>
      <c r="C713" s="489" t="s">
        <v>158</v>
      </c>
      <c r="D713" s="522" t="e">
        <f>D711+1</f>
        <v>#NUM!</v>
      </c>
      <c r="E713" s="211" t="e">
        <f>DATE(YEAR(E712),MONTH(E712),DAY(E712)+1)</f>
        <v>#NUM!</v>
      </c>
      <c r="F713" s="212" t="e">
        <f t="shared" si="247"/>
        <v>#NUM!</v>
      </c>
      <c r="G713" s="213" t="e">
        <f t="shared" si="248"/>
        <v>#NUM!</v>
      </c>
      <c r="H713" s="212" t="e">
        <f t="shared" si="249"/>
        <v>#NUM!</v>
      </c>
      <c r="I713" s="214" t="str">
        <f>IF(D710&lt;&gt;0,"-1T","")</f>
        <v/>
      </c>
      <c r="J713" s="215" t="e">
        <f>DATE($B715,I714,$B711)</f>
        <v>#NUM!</v>
      </c>
      <c r="K713" s="506" t="str">
        <f t="shared" si="231"/>
        <v/>
      </c>
      <c r="L713" s="470"/>
      <c r="M713" s="473" t="e">
        <f ca="1">SUM(J710-E714)&amp;" Tage"</f>
        <v>#NUM!</v>
      </c>
      <c r="N713" s="216"/>
      <c r="O713" s="217"/>
      <c r="P713" s="188"/>
      <c r="Q713" s="217"/>
      <c r="R713" s="189"/>
      <c r="S713" s="190"/>
      <c r="T713" s="190"/>
      <c r="U713" s="191"/>
      <c r="V713" s="192"/>
      <c r="W713" s="190"/>
      <c r="X713" s="190"/>
      <c r="Y713" s="191"/>
      <c r="Z713" s="192"/>
      <c r="AA713" s="190"/>
      <c r="AB713" s="190"/>
      <c r="AC713" s="191"/>
      <c r="AD713" s="192"/>
      <c r="AE713" s="190"/>
      <c r="AF713" s="190"/>
      <c r="AG713" s="191"/>
      <c r="AH713" s="193"/>
      <c r="AI713" s="190"/>
      <c r="AJ713" s="190"/>
      <c r="AK713" s="374"/>
      <c r="AL713" s="348"/>
      <c r="AM713" s="354"/>
      <c r="AN713" s="354"/>
      <c r="AO713" s="354"/>
      <c r="AP713" s="354"/>
      <c r="AQ713" s="350"/>
      <c r="AR713" s="769"/>
      <c r="AS713" s="769"/>
      <c r="AT713" s="769"/>
      <c r="BM713" s="335"/>
    </row>
    <row r="714" spans="1:65" ht="22.25" customHeight="1">
      <c r="A714" s="181">
        <f t="shared" si="250"/>
        <v>45292</v>
      </c>
      <c r="B714" s="485"/>
      <c r="C714" s="490"/>
      <c r="D714" s="521"/>
      <c r="E714" s="218" t="e">
        <f>DATE(YEAR(E713),MONTH(E713)+3,DAY(E713)-1)</f>
        <v>#NUM!</v>
      </c>
      <c r="F714" s="212" t="e">
        <f t="shared" si="247"/>
        <v>#NUM!</v>
      </c>
      <c r="G714" s="213" t="e">
        <f t="shared" si="248"/>
        <v>#NUM!</v>
      </c>
      <c r="H714" s="212" t="e">
        <f t="shared" si="249"/>
        <v>#NUM!</v>
      </c>
      <c r="I714" s="219">
        <f>MAX(I715:I718)</f>
        <v>9</v>
      </c>
      <c r="J714" s="220" t="e">
        <f>DATE(YEAR(J713)+1,MONTH(J713),DAY(J713))</f>
        <v>#NUM!</v>
      </c>
      <c r="K714" s="501" t="str">
        <f t="shared" si="231"/>
        <v>+Inflat.-P</v>
      </c>
      <c r="L714" s="508" t="e">
        <f>IF(M709="Stufe A",IF(AND(L710="Auswahl treffen",D713&gt;=0,D713&lt;=1000),J709,IF(AND(L710="Vermögend und ambulant",D713&gt;8,D713&lt;=1000),130,IF(AND(L710="Vermögend und ambulant",D713&gt;4,D713&lt;=8),158,IF(AND(L710="Vermögend und ambulant",D713&gt;2,D713&lt;=4),192,IF(AND(L710="Vermögend und ambulant",D713&gt;1,D713&lt;=2),208,IF(AND(L710="Vermögend und ambulant",D713&gt;0,D713&lt;=1),298,IF(AND(L710="Vermögend und stationär",D713&gt;8,D713&lt;=1000),78,IF(AND(L710="Vermögend und stationär",D713&gt;4,D713&lt;=8),91,IF(AND(L710="Vermögend und stationär",D713&gt;2,D713&lt;=4),140,IF(AND(L710="Vermögend und stationär",D713&gt;1,D713&lt;=2),158,IF(AND(L710="Vermögend und stationär",D713&gt;0,D713&lt;=1),200,IF(AND(L710="Mittellos und ambulant",D713&gt;8,D713&lt;=1000),105,IF(AND(L710="Mittellos und ambulant",D713&gt;4,D713&lt;=8),122,IF(AND(L710="Mittellos und ambulant",D713&gt;2,D713&lt;=4),151,IF(AND(L710="Mittellos und ambulant",D713&gt;1,D713&lt;=2),170,IF(AND(L710="Mittellos und ambulant",D713&gt;0,D713&lt;=1),208,IF(AND(L710="Mittellos und stationär",D713&gt;8,D713&lt;=1000),62,IF(AND(L710="Mittellos und stationär",D713&gt;4,D713&lt;=8),87,IF(AND(L710="Mittellos und stationär",D713&gt;2,D713&lt;=4),124,IF(AND(L710="Mittellos und stationär",D713&gt;1,D713&lt;=2),129,IF(AND(L710="Mittellos und stationär",D713&gt;0,D713&lt;=1),194,""))))))))))))))))))))),IF(M709="Stufe B",IF(AND(L710="Auswahl treffen",D713&gt;=0,D713&lt;=1000),J709,IF(AND(L710="Vermögend und ambulant",D713&gt;8,D713&lt;=1000),161,IF(AND(L710="Vermögend und ambulant",D713&gt;4,D713&lt;=8),196,IF(AND(L710="Vermögend und ambulant",D713&gt;2,D713&lt;=4),238,IF(AND(L710="Vermögend und ambulant",D713&gt;1,D713&lt;=2),258,IF(AND(L710="Vermögend und ambulant",D713&gt;0,D713&lt;=1),370,IF(AND(L710="Vermögend und stationär",D713&gt;8,D713&lt;=1000),96,IF(AND(L710="Vermögend und stationär",D713&gt;4,D713&lt;=8),113,IF(AND(L710="Vermögend und stationär",D713&gt;2,D713&lt;=4),174,IF(AND(L710="Vermögend und stationär",D713&gt;1,D713&lt;=2),196,IF(AND(L710="Vermögend und stationär",D713&gt;0,D713&lt;=1),249,IF(AND(L710="Mittellos und ambulant",D713&gt;8,D713&lt;=1000),130,IF(AND(L710="Mittellos und ambulant",D713&gt;4,D713&lt;=8),151,IF(AND(L710="Mittellos und ambulant",D713&gt;2,D713&lt;=4),188,IF(AND(L710="Mittellos und ambulant",D713&gt;1,D713&lt;=2),211,IF(AND(L710="Mittellos und ambulant",D713&gt;0,D713&lt;=1),258,IF(AND(L710="Mittellos und stationär",D713&gt;8,D713&lt;=1000),78,IF(AND(L710="Mittellos und stationär",D713&gt;4,D713&lt;=8),107,IF(AND(L710="Mittellos und stationär",D713&gt;2,D713&lt;=4),154,IF(AND(L710="Mittellos und stationär",D713&gt;1,D713&lt;=2),158,IF(AND(L710="Mittellos und stationär",D713&gt;0,D713&lt;=1),241,""))))))))))))))))))))),IF(M709="Stufe C",IF(AND(L710="Auswahl treffen",D713&gt;=0,D713&lt;=1000),J709,IF(AND(L710="Vermögend und ambulant",D713&gt;8,D713&lt;=1000),211,IF(AND(L710="Vermögend und ambulant",D713&gt;4,D713&lt;=8),257,IF(AND(L710="Vermögend und ambulant",D713&gt;2,D713&lt;=4),312,IF(AND(L710="Vermögend und ambulant",D713&gt;1,D713&lt;=2),339,IF(AND(L710="Vermögend und ambulant",D713&gt;0,D713&lt;=1),486,IF(AND(L710="Vermögend und stationär",D713&gt;8,D713&lt;=1000),127,IF(AND(L710="Vermögend und stationär",D713&gt;4,D713&lt;=8),149,IF(AND(L710="Vermögend und stationär",D713&gt;2,D713&lt;=4),229,IF(AND(L710="Vermögend und stationär",D713&gt;1,D713&lt;=2),257,IF(AND(L710="Vermögend und stationär",D713&gt;0,D713&lt;=1),327,IF(AND(L710="Mittellos und ambulant",D713&gt;8,D713&lt;=1000),171,IF(AND(L710="Mittellos und ambulant",D713&gt;4,D713&lt;=8),198,IF(AND(L710="Mittellos und ambulant",D713&gt;2,D713&lt;=4),246,IF(AND(L710="Mittellos und ambulant",D713&gt;1,D713&lt;=2),277,IF(AND(L710="Mittellos und ambulant",D713&gt;0,D713&lt;=1),339,IF(AND(L710="Mittellos und stationär",D713&gt;8,D713&lt;=1000),102,IF(AND(L710="Mittellos und stationär",D713&gt;4,D713&lt;=8),141,IF(AND(L710="Mittellos und stationär",D713&gt;2,D713&lt;=4),202,IF(AND(L710="Mittellos und stationär",D713&gt;1,D713&lt;=2),208,IF(AND(L710="Mittellos und stationär",D713&gt;0,D713&lt;=1),317,""))))))))))))))))))))),"")))*3+(J709*90)</f>
        <v>#NUM!</v>
      </c>
      <c r="M714" s="507" t="str">
        <f>CONCATENATE(K714, K713)</f>
        <v>+Inflat.-P</v>
      </c>
      <c r="N714" s="216"/>
      <c r="O714" s="188" t="s">
        <v>118</v>
      </c>
      <c r="P714" s="188"/>
      <c r="Q714" s="221"/>
      <c r="R714" s="199"/>
      <c r="S714" s="190"/>
      <c r="T714" s="190"/>
      <c r="U714" s="191"/>
      <c r="V714" s="192"/>
      <c r="W714" s="222" t="s">
        <v>118</v>
      </c>
      <c r="X714" s="222" t="s">
        <v>117</v>
      </c>
      <c r="Y714" s="191" t="s">
        <v>26</v>
      </c>
      <c r="Z714" s="192"/>
      <c r="AA714" s="190"/>
      <c r="AB714" s="190"/>
      <c r="AC714" s="191"/>
      <c r="AD714" s="192"/>
      <c r="AE714" s="190"/>
      <c r="AF714" s="190"/>
      <c r="AG714" s="191"/>
      <c r="AH714" s="193"/>
      <c r="AI714" s="190"/>
      <c r="AJ714" s="190"/>
      <c r="AK714" s="374"/>
      <c r="AL714" s="348" t="s">
        <v>149</v>
      </c>
      <c r="AM714" s="354"/>
      <c r="AN714" s="354">
        <f>IF(SUM(O710:O718)=SUM(W710:W718), 0, SUM(O710:O718)-SUM(W710:W718))</f>
        <v>0</v>
      </c>
      <c r="AO714" s="354"/>
      <c r="AP714" s="354"/>
      <c r="AQ714" s="350">
        <f>AM714+AN714+AO714+AP714</f>
        <v>0</v>
      </c>
      <c r="AR714" s="769"/>
      <c r="AS714" s="769"/>
      <c r="AT714" s="769"/>
      <c r="BM714" s="335"/>
    </row>
    <row r="715" spans="1:65" ht="22.25" customHeight="1">
      <c r="A715" s="181">
        <f t="shared" si="250"/>
        <v>45292</v>
      </c>
      <c r="B715" s="484">
        <f>YEAR($A716)-1</f>
        <v>2023</v>
      </c>
      <c r="C715" s="489" t="s">
        <v>158</v>
      </c>
      <c r="D715" s="520" t="e">
        <f>D713+1</f>
        <v>#NUM!</v>
      </c>
      <c r="E715" s="194" t="e">
        <f>DATE(YEAR(E714),MONTH(E714),DAY(E714)+1)</f>
        <v>#NUM!</v>
      </c>
      <c r="F715" s="195" t="e">
        <f t="shared" si="247"/>
        <v>#NUM!</v>
      </c>
      <c r="G715" s="196" t="e">
        <f t="shared" si="248"/>
        <v>#NUM!</v>
      </c>
      <c r="H715" s="195" t="e">
        <f t="shared" si="249"/>
        <v>#NUM!</v>
      </c>
      <c r="I715" s="197">
        <f>IF(J717&lt;13,J717,"")</f>
        <v>9</v>
      </c>
      <c r="J715" s="224">
        <f>G710</f>
        <v>0</v>
      </c>
      <c r="K715" s="506" t="str">
        <f t="shared" si="231"/>
        <v/>
      </c>
      <c r="L715" s="471"/>
      <c r="M715" s="473" t="e">
        <f ca="1">SUM(J710-E716)&amp;" Tage"</f>
        <v>#NUM!</v>
      </c>
      <c r="N715" s="200"/>
      <c r="O715" s="201"/>
      <c r="P715" s="201"/>
      <c r="Q715" s="202"/>
      <c r="R715" s="189"/>
      <c r="S715" s="203"/>
      <c r="T715" s="203"/>
      <c r="U715" s="204"/>
      <c r="V715" s="192"/>
      <c r="W715" s="203"/>
      <c r="X715" s="203"/>
      <c r="Y715" s="204"/>
      <c r="Z715" s="192"/>
      <c r="AA715" s="203"/>
      <c r="AB715" s="203"/>
      <c r="AC715" s="204"/>
      <c r="AD715" s="192"/>
      <c r="AE715" s="203"/>
      <c r="AF715" s="203"/>
      <c r="AG715" s="204"/>
      <c r="AH715" s="193"/>
      <c r="AI715" s="203"/>
      <c r="AJ715" s="203"/>
      <c r="AK715" s="375"/>
      <c r="AL715" s="348"/>
      <c r="AM715" s="354"/>
      <c r="AN715" s="354"/>
      <c r="AO715" s="354"/>
      <c r="AP715" s="354"/>
      <c r="AQ715" s="350"/>
      <c r="AR715" s="769"/>
      <c r="AS715" s="769"/>
      <c r="AT715" s="769"/>
      <c r="BM715" s="335"/>
    </row>
    <row r="716" spans="1:65" ht="22.25" customHeight="1">
      <c r="A716" s="181">
        <f t="shared" si="250"/>
        <v>45292</v>
      </c>
      <c r="B716" s="485"/>
      <c r="C716" s="490"/>
      <c r="D716" s="521"/>
      <c r="E716" s="194" t="e">
        <f>DATE(YEAR(E715),MONTH(E715)+3,DAY(E715)-1)</f>
        <v>#NUM!</v>
      </c>
      <c r="F716" s="195" t="e">
        <f t="shared" si="247"/>
        <v>#NUM!</v>
      </c>
      <c r="G716" s="196" t="e">
        <f t="shared" si="248"/>
        <v>#NUM!</v>
      </c>
      <c r="H716" s="195" t="e">
        <f t="shared" si="249"/>
        <v>#NUM!</v>
      </c>
      <c r="I716" s="244">
        <f>IF(J718&lt;13,J718,"")</f>
        <v>6</v>
      </c>
      <c r="J716" s="224">
        <f>J715+3</f>
        <v>3</v>
      </c>
      <c r="K716" s="501" t="str">
        <f t="shared" si="231"/>
        <v>+Inflat.-P</v>
      </c>
      <c r="L716" s="511" t="e">
        <f>IF(M709="Stufe A",IF(AND(L710="Auswahl treffen",D715&gt;=0,D715&lt;=1000),J709,IF(AND(L710="Vermögend und ambulant",D715&gt;8,D715&lt;=1000),130,IF(AND(L710="Vermögend und ambulant",D715&gt;4,D715&lt;=8),158,IF(AND(L710="Vermögend und ambulant",D715&gt;2,D715&lt;=4),192,IF(AND(L710="Vermögend und ambulant",D715&gt;1,D715&lt;=2),208,IF(AND(L710="Vermögend und ambulant",D715&gt;0,D715&lt;=1),298,IF(AND(L710="Vermögend und stationär",D715&gt;8,D715&lt;=1000),78,IF(AND(L710="Vermögend und stationär",D715&gt;4,D715&lt;=8),91,IF(AND(L710="Vermögend und stationär",D715&gt;2,D715&lt;=4),140,IF(AND(L710="Vermögend und stationär",D715&gt;1,D715&lt;=2),158,IF(AND(L710="Vermögend und stationär",D715&gt;0,D715&lt;=1),200,IF(AND(L710="Mittellos und ambulant",D715&gt;8,D715&lt;=1000),105,IF(AND(L710="Mittellos und ambulant",D715&gt;4,D715&lt;=8),122,IF(AND(L710="Mittellos und ambulant",D715&gt;2,D715&lt;=4),151,IF(AND(L710="Mittellos und ambulant",D715&gt;1,D715&lt;=2),170,IF(AND(L710="Mittellos und ambulant",D715&gt;0,D715&lt;=1),208,IF(AND(L710="Mittellos und stationär",D715&gt;8,D715&lt;=1000),62,IF(AND(L710="Mittellos und stationär",D715&gt;4,D715&lt;=8),87,IF(AND(L710="Mittellos und stationär",D715&gt;2,D715&lt;=4),124,IF(AND(L710="Mittellos und stationär",D715&gt;1,D715&lt;=2),129,IF(AND(L710="Mittellos und stationär",D715&gt;0,D715&lt;=1),194,""))))))))))))))))))))),IF(M709="Stufe B",IF(AND(L710="Auswahl treffen",D715&gt;=0,D715&lt;=1000),J709,IF(AND(L710="Vermögend und ambulant",D715&gt;8,D715&lt;=1000),161,IF(AND(L710="Vermögend und ambulant",D715&gt;4,D715&lt;=8),196,IF(AND(L710="Vermögend und ambulant",D715&gt;2,D715&lt;=4),238,IF(AND(L710="Vermögend und ambulant",D715&gt;1,D715&lt;=2),258,IF(AND(L710="Vermögend und ambulant",D715&gt;0,D715&lt;=1),370,IF(AND(L710="Vermögend und stationär",D715&gt;8,D715&lt;=1000),96,IF(AND(L710="Vermögend und stationär",D715&gt;4,D715&lt;=8),113,IF(AND(L710="Vermögend und stationär",D715&gt;2,D715&lt;=4),174,IF(AND(L710="Vermögend und stationär",D715&gt;1,D715&lt;=2),196,IF(AND(L710="Vermögend und stationär",D715&gt;0,D715&lt;=1),249,IF(AND(L710="Mittellos und ambulant",D715&gt;8,D715&lt;=1000),130,IF(AND(L710="Mittellos und ambulant",D715&gt;4,D715&lt;=8),151,IF(AND(L710="Mittellos und ambulant",D715&gt;2,D715&lt;=4),188,IF(AND(L710="Mittellos und ambulant",D715&gt;1,D715&lt;=2),211,IF(AND(L710="Mittellos und ambulant",D715&gt;0,D715&lt;=1),258,IF(AND(L710="Mittellos und stationär",D715&gt;8,D715&lt;=1000),78,IF(AND(L710="Mittellos und stationär",D715&gt;4,D715&lt;=8),107,IF(AND(L710="Mittellos und stationär",D715&gt;2,D715&lt;=4),154,IF(AND(L710="Mittellos und stationär",D715&gt;1,D715&lt;=2),158,IF(AND(L710="Mittellos und stationär",D715&gt;0,D715&lt;=1),241,""))))))))))))))))))))),IF(M709="Stufe C",IF(AND(L710="Auswahl treffen",D715&gt;=0,D715&lt;=1000),J709,IF(AND(L710="Vermögend und ambulant",D715&gt;8,D715&lt;=1000),211,IF(AND(L710="Vermögend und ambulant",D715&gt;4,D715&lt;=8),257,IF(AND(L710="Vermögend und ambulant",D715&gt;2,D715&lt;=4),312,IF(AND(L710="Vermögend und ambulant",D715&gt;1,D715&lt;=2),339,IF(AND(L710="Vermögend und ambulant",D715&gt;0,D715&lt;=1),486,IF(AND(L710="Vermögend und stationär",D715&gt;8,D715&lt;=1000),127,IF(AND(L710="Vermögend und stationär",D715&gt;4,D715&lt;=8),149,IF(AND(L710="Vermögend und stationär",D715&gt;2,D715&lt;=4),229,IF(AND(L710="Vermögend und stationär",D715&gt;1,D715&lt;=2),257,IF(AND(L710="Vermögend und stationär",D715&gt;0,D715&lt;=1),327,IF(AND(L710="Mittellos und ambulant",D715&gt;8,D715&lt;=1000),171,IF(AND(L710="Mittellos und ambulant",D715&gt;4,D715&lt;=8),198,IF(AND(L710="Mittellos und ambulant",D715&gt;2,D715&lt;=4),246,IF(AND(L710="Mittellos und ambulant",D715&gt;1,D715&lt;=2),277,IF(AND(L710="Mittellos und ambulant",D715&gt;0,D715&lt;=1),339,IF(AND(L710="Mittellos und stationär",D715&gt;8,D715&lt;=1000),102,IF(AND(L710="Mittellos und stationär",D715&gt;4,D715&lt;=8),141,IF(AND(L710="Mittellos und stationär",D715&gt;2,D715&lt;=4),202,IF(AND(L710="Mittellos und stationär",D715&gt;1,D715&lt;=2),208,IF(AND(L710="Mittellos und stationär",D715&gt;0,D715&lt;=1),317,""))))))))))))))))))))),"")))*3+(J709*90)</f>
        <v>#NUM!</v>
      </c>
      <c r="M716" s="507" t="str">
        <f>CONCATENATE(K716, K715)</f>
        <v>+Inflat.-P</v>
      </c>
      <c r="N716" s="206"/>
      <c r="O716" s="207"/>
      <c r="P716" s="206" t="s">
        <v>118</v>
      </c>
      <c r="Q716" s="226"/>
      <c r="R716" s="189"/>
      <c r="S716" s="203"/>
      <c r="T716" s="203"/>
      <c r="U716" s="204"/>
      <c r="V716" s="192"/>
      <c r="W716" s="203"/>
      <c r="X716" s="203"/>
      <c r="Y716" s="204"/>
      <c r="Z716" s="192"/>
      <c r="AA716" s="209" t="s">
        <v>118</v>
      </c>
      <c r="AB716" s="209" t="s">
        <v>117</v>
      </c>
      <c r="AC716" s="204" t="s">
        <v>26</v>
      </c>
      <c r="AD716" s="192"/>
      <c r="AE716" s="203"/>
      <c r="AF716" s="203"/>
      <c r="AG716" s="204"/>
      <c r="AH716" s="193"/>
      <c r="AI716" s="203"/>
      <c r="AJ716" s="203"/>
      <c r="AK716" s="375"/>
      <c r="AL716" s="348" t="s">
        <v>150</v>
      </c>
      <c r="AM716" s="354"/>
      <c r="AN716" s="354"/>
      <c r="AO716" s="354">
        <f>IF(SUM(P710:P718)=SUM(AA710:AA718), 0, SUM(P710:P718)-SUM(AA710:AA718))</f>
        <v>0</v>
      </c>
      <c r="AP716" s="354"/>
      <c r="AQ716" s="350">
        <f>AM716+AN716+AO716+AP716</f>
        <v>0</v>
      </c>
      <c r="AR716" s="769"/>
      <c r="AS716" s="769"/>
      <c r="AT716" s="769"/>
      <c r="BM716" s="335"/>
    </row>
    <row r="717" spans="1:65" ht="22.25" customHeight="1">
      <c r="A717" s="181">
        <f t="shared" si="250"/>
        <v>45292</v>
      </c>
      <c r="B717" s="486"/>
      <c r="C717" s="489" t="s">
        <v>158</v>
      </c>
      <c r="D717" s="522" t="e">
        <f>D715+1</f>
        <v>#NUM!</v>
      </c>
      <c r="E717" s="211" t="e">
        <f>DATE(YEAR(E716),MONTH(E716),DAY(E716)+1)</f>
        <v>#NUM!</v>
      </c>
      <c r="F717" s="227" t="e">
        <f t="shared" si="247"/>
        <v>#NUM!</v>
      </c>
      <c r="G717" s="228" t="e">
        <f t="shared" si="248"/>
        <v>#NUM!</v>
      </c>
      <c r="H717" s="227" t="e">
        <f t="shared" si="249"/>
        <v>#NUM!</v>
      </c>
      <c r="I717" s="231">
        <f>IF(J716&lt;13,J716,"")</f>
        <v>3</v>
      </c>
      <c r="J717" s="230">
        <f>J718+3</f>
        <v>9</v>
      </c>
      <c r="K717" s="506" t="str">
        <f t="shared" si="231"/>
        <v/>
      </c>
      <c r="L717" s="471"/>
      <c r="M717" s="473" t="e">
        <f ca="1">SUM(J710-E718)&amp;" Tage"</f>
        <v>#NUM!</v>
      </c>
      <c r="N717" s="216"/>
      <c r="O717" s="188"/>
      <c r="P717" s="188"/>
      <c r="Q717" s="217"/>
      <c r="R717" s="189"/>
      <c r="S717" s="190"/>
      <c r="T717" s="190"/>
      <c r="U717" s="191"/>
      <c r="V717" s="192"/>
      <c r="W717" s="190"/>
      <c r="X717" s="190"/>
      <c r="Y717" s="191"/>
      <c r="Z717" s="192"/>
      <c r="AA717" s="190"/>
      <c r="AB717" s="190"/>
      <c r="AC717" s="191"/>
      <c r="AD717" s="192"/>
      <c r="AE717" s="190"/>
      <c r="AF717" s="190"/>
      <c r="AG717" s="191"/>
      <c r="AH717" s="193"/>
      <c r="AI717" s="190"/>
      <c r="AJ717" s="190"/>
      <c r="AK717" s="374"/>
      <c r="AL717" s="348"/>
      <c r="AM717" s="354"/>
      <c r="AN717" s="354"/>
      <c r="AO717" s="354"/>
      <c r="AP717" s="354"/>
      <c r="AQ717" s="350"/>
      <c r="AR717" s="769"/>
      <c r="AS717" s="769"/>
      <c r="AT717" s="769"/>
      <c r="BM717" s="335"/>
    </row>
    <row r="718" spans="1:65" ht="22.25" customHeight="1">
      <c r="A718" s="181">
        <f t="shared" si="250"/>
        <v>45292</v>
      </c>
      <c r="B718" s="485"/>
      <c r="C718" s="490"/>
      <c r="D718" s="521"/>
      <c r="E718" s="218" t="e">
        <f>DATE(YEAR(E717),MONTH(E717)+3,DAY(E717)-1)</f>
        <v>#NUM!</v>
      </c>
      <c r="F718" s="227" t="e">
        <f t="shared" si="247"/>
        <v>#NUM!</v>
      </c>
      <c r="G718" s="228" t="e">
        <f t="shared" si="248"/>
        <v>#NUM!</v>
      </c>
      <c r="H718" s="227" t="e">
        <f t="shared" si="249"/>
        <v>#NUM!</v>
      </c>
      <c r="I718" s="231">
        <f>IF(J715&lt;13,J715,"")</f>
        <v>0</v>
      </c>
      <c r="J718" s="230">
        <f>J716+3</f>
        <v>6</v>
      </c>
      <c r="K718" s="501" t="str">
        <f t="shared" ref="K718:K780" si="251">K716</f>
        <v>+Inflat.-P</v>
      </c>
      <c r="L718" s="508" t="e">
        <f>IF(M709="Stufe A",IF(AND(L710="Auswahl treffen",D717&gt;=0,D717&lt;=1000),J709,IF(AND(L710="Vermögend und ambulant",D717&gt;8,D717&lt;=1000),130,IF(AND(L710="Vermögend und ambulant",D717&gt;4,D717&lt;=8),158,IF(AND(L710="Vermögend und ambulant",D717&gt;2,D717&lt;=4),192,IF(AND(L710="Vermögend und ambulant",D717&gt;1,D717&lt;=2),208,IF(AND(L710="Vermögend und ambulant",D717&gt;0,D717&lt;=1),298,IF(AND(L710="Vermögend und stationär",D717&gt;8,D717&lt;=1000),78,IF(AND(L710="Vermögend und stationär",D717&gt;4,D717&lt;=8),91,IF(AND(L710="Vermögend und stationär",D717&gt;2,D717&lt;=4),140,IF(AND(L710="Vermögend und stationär",D717&gt;1,D717&lt;=2),158,IF(AND(L710="Vermögend und stationär",D717&gt;0,D717&lt;=1),200,IF(AND(L710="Mittellos und ambulant",D717&gt;8,D717&lt;=1000),105,IF(AND(L710="Mittellos und ambulant",D717&gt;4,D717&lt;=8),122,IF(AND(L710="Mittellos und ambulant",D717&gt;2,D717&lt;=4),151,IF(AND(L710="Mittellos und ambulant",D717&gt;1,D717&lt;=2),170,IF(AND(L710="Mittellos und ambulant",D717&gt;0,D717&lt;=1),208,IF(AND(L710="Mittellos und stationär",D717&gt;8,D717&lt;=1000),62,IF(AND(L710="Mittellos und stationär",D717&gt;4,D717&lt;=8),87,IF(AND(L710="Mittellos und stationär",D717&gt;2,D717&lt;=4),124,IF(AND(L710="Mittellos und stationär",D717&gt;1,D717&lt;=2),129,IF(AND(L710="Mittellos und stationär",D717&gt;0,D717&lt;=1),194,""))))))))))))))))))))),IF(M709="Stufe B",IF(AND(L710="Auswahl treffen",D717&gt;=0,D717&lt;=1000),J709,IF(AND(L710="Vermögend und ambulant",D717&gt;8,D717&lt;=1000),161,IF(AND(L710="Vermögend und ambulant",D717&gt;4,D717&lt;=8),196,IF(AND(L710="Vermögend und ambulant",D717&gt;2,D717&lt;=4),238,IF(AND(L710="Vermögend und ambulant",D717&gt;1,D717&lt;=2),258,IF(AND(L710="Vermögend und ambulant",D717&gt;0,D717&lt;=1),370,IF(AND(L710="Vermögend und stationär",D717&gt;8,D717&lt;=1000),96,IF(AND(L710="Vermögend und stationär",D717&gt;4,D717&lt;=8),113,IF(AND(L710="Vermögend und stationär",D717&gt;2,D717&lt;=4),174,IF(AND(L710="Vermögend und stationär",D717&gt;1,D717&lt;=2),196,IF(AND(L710="Vermögend und stationär",D717&gt;0,D717&lt;=1),249,IF(AND(L710="Mittellos und ambulant",D717&gt;8,D717&lt;=1000),130,IF(AND(L710="Mittellos und ambulant",D717&gt;4,D717&lt;=8),151,IF(AND(L710="Mittellos und ambulant",D717&gt;2,D717&lt;=4),188,IF(AND(L710="Mittellos und ambulant",D717&gt;1,D717&lt;=2),211,IF(AND(L710="Mittellos und ambulant",D717&gt;0,D717&lt;=1),258,IF(AND(L710="Mittellos und stationär",D717&gt;8,D717&lt;=1000),78,IF(AND(L710="Mittellos und stationär",D717&gt;4,D717&lt;=8),107,IF(AND(L710="Mittellos und stationär",D717&gt;2,D717&lt;=4),154,IF(AND(L710="Mittellos und stationär",D717&gt;1,D717&lt;=2),158,IF(AND(L710="Mittellos und stationär",D717&gt;0,D717&lt;=1),241,""))))))))))))))))))))),IF(M709="Stufe C",IF(AND(L710="Auswahl treffen",D717&gt;=0,D717&lt;=1000),J709,IF(AND(L710="Vermögend und ambulant",D717&gt;8,D717&lt;=1000),211,IF(AND(L710="Vermögend und ambulant",D717&gt;4,D717&lt;=8),257,IF(AND(L710="Vermögend und ambulant",D717&gt;2,D717&lt;=4),312,IF(AND(L710="Vermögend und ambulant",D717&gt;1,D717&lt;=2),339,IF(AND(L710="Vermögend und ambulant",D717&gt;0,D717&lt;=1),486,IF(AND(L710="Vermögend und stationär",D717&gt;8,D717&lt;=1000),127,IF(AND(L710="Vermögend und stationär",D717&gt;4,D717&lt;=8),149,IF(AND(L710="Vermögend und stationär",D717&gt;2,D717&lt;=4),229,IF(AND(L710="Vermögend und stationär",D717&gt;1,D717&lt;=2),257,IF(AND(L710="Vermögend und stationär",D717&gt;0,D717&lt;=1),327,IF(AND(L710="Mittellos und ambulant",D717&gt;8,D717&lt;=1000),171,IF(AND(L710="Mittellos und ambulant",D717&gt;4,D717&lt;=8),198,IF(AND(L710="Mittellos und ambulant",D717&gt;2,D717&lt;=4),246,IF(AND(L710="Mittellos und ambulant",D717&gt;1,D717&lt;=2),277,IF(AND(L710="Mittellos und ambulant",D717&gt;0,D717&lt;=1),339,IF(AND(L710="Mittellos und stationär",D717&gt;8,D717&lt;=1000),102,IF(AND(L710="Mittellos und stationär",D717&gt;4,D717&lt;=8),141,IF(AND(L710="Mittellos und stationär",D717&gt;2,D717&lt;=4),202,IF(AND(L710="Mittellos und stationär",D717&gt;1,D717&lt;=2),208,IF(AND(L710="Mittellos und stationär",D717&gt;0,D717&lt;=1),317,""))))))))))))))))))))),"")))*3+(J709*90)</f>
        <v>#NUM!</v>
      </c>
      <c r="M718" s="507" t="str">
        <f>CONCATENATE(K718, K717)</f>
        <v>+Inflat.-P</v>
      </c>
      <c r="N718" s="216"/>
      <c r="O718" s="188"/>
      <c r="P718" s="188"/>
      <c r="Q718" s="217" t="s">
        <v>118</v>
      </c>
      <c r="R718" s="189"/>
      <c r="S718" s="190"/>
      <c r="T718" s="190"/>
      <c r="U718" s="191"/>
      <c r="V718" s="192"/>
      <c r="W718" s="190"/>
      <c r="X718" s="190"/>
      <c r="Y718" s="191"/>
      <c r="Z718" s="192"/>
      <c r="AA718" s="190"/>
      <c r="AB718" s="190"/>
      <c r="AC718" s="191"/>
      <c r="AD718" s="192"/>
      <c r="AE718" s="190" t="s">
        <v>118</v>
      </c>
      <c r="AF718" s="190" t="s">
        <v>117</v>
      </c>
      <c r="AG718" s="191" t="s">
        <v>26</v>
      </c>
      <c r="AH718" s="193"/>
      <c r="AI718" s="190" t="s">
        <v>118</v>
      </c>
      <c r="AJ718" s="190" t="s">
        <v>117</v>
      </c>
      <c r="AK718" s="374" t="s">
        <v>26</v>
      </c>
      <c r="AL718" s="348" t="s">
        <v>151</v>
      </c>
      <c r="AM718" s="354"/>
      <c r="AN718" s="354"/>
      <c r="AO718" s="354"/>
      <c r="AP718" s="354">
        <f>IF(SUM(Q710:Q718)=SUM(AE710:AE718,AI710:AI718), 0, SUM(Q710:Q718)-SUM(AE710:AE718,AI710:AI718))</f>
        <v>0</v>
      </c>
      <c r="AQ718" s="350">
        <f>AM718+AN718+AO718+AP718</f>
        <v>0</v>
      </c>
      <c r="AR718" s="769"/>
      <c r="AS718" s="769"/>
      <c r="AT718" s="769"/>
      <c r="BM718" s="335"/>
    </row>
    <row r="719" spans="1:65" ht="22" customHeight="1">
      <c r="A719" s="181">
        <f t="shared" si="250"/>
        <v>45292</v>
      </c>
      <c r="B719" s="232" t="s">
        <v>74</v>
      </c>
      <c r="C719" s="233" t="s">
        <v>75</v>
      </c>
      <c r="D719" s="234" t="s">
        <v>76</v>
      </c>
      <c r="E719" s="235" t="s">
        <v>11</v>
      </c>
      <c r="F719" s="235" t="s">
        <v>4</v>
      </c>
      <c r="G719" s="235" t="s">
        <v>5</v>
      </c>
      <c r="H719" s="235" t="s">
        <v>6</v>
      </c>
      <c r="I719" s="236" t="s">
        <v>77</v>
      </c>
      <c r="J719" s="479"/>
      <c r="K719" s="501" t="str">
        <f t="shared" si="251"/>
        <v/>
      </c>
      <c r="L719" s="479" t="str">
        <f>IFERROR(VLOOKUP(B720,'Aktuelle Einnahmen'!A2:J104,10,0),"")</f>
        <v/>
      </c>
      <c r="M719" s="512" t="str">
        <f>M709</f>
        <v>Stufe C</v>
      </c>
      <c r="N719" s="237"/>
      <c r="O719" s="238"/>
      <c r="P719" s="238"/>
      <c r="Q719" s="239"/>
      <c r="R719" s="240"/>
      <c r="S719" s="241"/>
      <c r="T719" s="241"/>
      <c r="U719" s="242"/>
      <c r="V719" s="243"/>
      <c r="W719" s="241"/>
      <c r="X719" s="241"/>
      <c r="Y719" s="242"/>
      <c r="Z719" s="243"/>
      <c r="AA719" s="241"/>
      <c r="AB719" s="241"/>
      <c r="AC719" s="242"/>
      <c r="AD719" s="243"/>
      <c r="AE719" s="241"/>
      <c r="AF719" s="241"/>
      <c r="AG719" s="242"/>
      <c r="AH719" s="240"/>
      <c r="AI719" s="241"/>
      <c r="AJ719" s="241"/>
      <c r="AK719" s="377"/>
      <c r="AL719" s="347"/>
      <c r="AM719" s="353"/>
      <c r="AN719" s="353"/>
      <c r="AO719" s="353"/>
      <c r="AP719" s="353"/>
      <c r="AQ719" s="349"/>
      <c r="AR719" s="768"/>
      <c r="AS719" s="768"/>
      <c r="AT719" s="768"/>
      <c r="BM719" s="335"/>
    </row>
    <row r="720" spans="1:65" ht="23" customHeight="1">
      <c r="A720" s="181">
        <f t="shared" si="250"/>
        <v>45292</v>
      </c>
      <c r="B720" s="182">
        <v>72</v>
      </c>
      <c r="C720" s="245">
        <f>IFERROR(VLOOKUP($B720,'Aktuelle Einnahmen'!A2:G104,3,0),"")</f>
        <v>0</v>
      </c>
      <c r="D720" s="246">
        <f>IFERROR(VLOOKUP($B720,'Aktuelle Einnahmen'!A2:G104,2,0),"")</f>
        <v>0</v>
      </c>
      <c r="E720" s="247">
        <f>IFERROR(VLOOKUP($B720,'Aktuelle Einnahmen'!A2:G104,4,0),"")</f>
        <v>0</v>
      </c>
      <c r="F720" s="94">
        <f>IFERROR(VLOOKUP($B720,'Aktuelle Einnahmen'!A2:G104,5,0),"")</f>
        <v>0</v>
      </c>
      <c r="G720" s="94">
        <f>IFERROR(VLOOKUP($B720,'Aktuelle Einnahmen'!A2:G104,6,0),"")</f>
        <v>0</v>
      </c>
      <c r="H720" s="94">
        <f>IFERROR(VLOOKUP($B720,'Aktuelle Einnahmen'!A2:G104,7,0),"")</f>
        <v>0</v>
      </c>
      <c r="I720" s="186" t="e">
        <f>DATE(H720,G720,F720)</f>
        <v>#NUM!</v>
      </c>
      <c r="J720" s="472">
        <f ca="1">J710</f>
        <v>45475</v>
      </c>
      <c r="K720" s="506" t="str">
        <f t="shared" si="251"/>
        <v>+Inflat.-P</v>
      </c>
      <c r="L720" s="1262" t="str">
        <f>IFERROR(VLOOKUP(B720,'Aktuelle Einnahmen'!A22:I124,9,0),"")</f>
        <v>Auswahl treffen</v>
      </c>
      <c r="M720" s="1263"/>
      <c r="N720" s="261"/>
      <c r="O720" s="261"/>
      <c r="P720" s="261"/>
      <c r="Q720" s="261"/>
      <c r="R720" s="189"/>
      <c r="S720" s="190"/>
      <c r="T720" s="190"/>
      <c r="U720" s="191"/>
      <c r="V720" s="192"/>
      <c r="W720" s="190"/>
      <c r="X720" s="190"/>
      <c r="Y720" s="191"/>
      <c r="Z720" s="192"/>
      <c r="AA720" s="190"/>
      <c r="AB720" s="190"/>
      <c r="AC720" s="191"/>
      <c r="AD720" s="192"/>
      <c r="AE720" s="190"/>
      <c r="AF720" s="190"/>
      <c r="AG720" s="191"/>
      <c r="AH720" s="193"/>
      <c r="AI720" s="190"/>
      <c r="AJ720" s="190"/>
      <c r="AK720" s="374"/>
      <c r="AL720" s="348"/>
      <c r="AM720" s="354"/>
      <c r="AN720" s="354"/>
      <c r="AO720" s="354"/>
      <c r="AP720" s="354"/>
      <c r="AQ720" s="350"/>
      <c r="AR720" s="769"/>
      <c r="AS720" s="769"/>
      <c r="AT720" s="769"/>
      <c r="BM720" s="335"/>
    </row>
    <row r="721" spans="1:65" ht="22.25" customHeight="1">
      <c r="A721" s="181">
        <f t="shared" si="250"/>
        <v>45292</v>
      </c>
      <c r="B721" s="484" t="e">
        <f>DAY(I720)</f>
        <v>#NUM!</v>
      </c>
      <c r="C721" s="489" t="s">
        <v>158</v>
      </c>
      <c r="D721" s="520" t="e">
        <f>(I721*4)+J721/3+1</f>
        <v>#NUM!</v>
      </c>
      <c r="E721" s="194" t="e">
        <f>J723+1</f>
        <v>#NUM!</v>
      </c>
      <c r="F721" s="195" t="e">
        <f t="shared" ref="F721:F728" si="252">DAY(E721)</f>
        <v>#NUM!</v>
      </c>
      <c r="G721" s="196" t="e">
        <f t="shared" ref="G721:G728" si="253">MONTH(E721)</f>
        <v>#NUM!</v>
      </c>
      <c r="H721" s="195" t="e">
        <f t="shared" ref="H721:H728" si="254">YEAR(E721)</f>
        <v>#NUM!</v>
      </c>
      <c r="I721" s="197" t="e">
        <f>H721-(H720+2000)</f>
        <v>#NUM!</v>
      </c>
      <c r="J721" s="198" t="e">
        <f>G721-G720</f>
        <v>#NUM!</v>
      </c>
      <c r="K721" s="506" t="str">
        <f>L719</f>
        <v/>
      </c>
      <c r="L721" s="469"/>
      <c r="M721" s="473" t="e">
        <f ca="1">SUM(J720-E722)&amp;" Tage"</f>
        <v>#NUM!</v>
      </c>
      <c r="N721" s="206"/>
      <c r="O721" s="201"/>
      <c r="P721" s="201"/>
      <c r="Q721" s="202"/>
      <c r="R721" s="189"/>
      <c r="S721" s="203"/>
      <c r="T721" s="203"/>
      <c r="U721" s="204"/>
      <c r="V721" s="192"/>
      <c r="W721" s="203"/>
      <c r="X721" s="203"/>
      <c r="Y721" s="204"/>
      <c r="Z721" s="192"/>
      <c r="AA721" s="203"/>
      <c r="AB721" s="203"/>
      <c r="AC721" s="204"/>
      <c r="AD721" s="192"/>
      <c r="AE721" s="203"/>
      <c r="AF721" s="203"/>
      <c r="AG721" s="204"/>
      <c r="AH721" s="193"/>
      <c r="AI721" s="203"/>
      <c r="AJ721" s="203"/>
      <c r="AK721" s="375"/>
      <c r="AL721" s="348"/>
      <c r="AM721" s="354"/>
      <c r="AN721" s="354"/>
      <c r="AO721" s="354"/>
      <c r="AP721" s="354"/>
      <c r="AQ721" s="350"/>
      <c r="AR721" s="769"/>
      <c r="AS721" s="769"/>
      <c r="AT721" s="769"/>
      <c r="BM721" s="335"/>
    </row>
    <row r="722" spans="1:65" ht="22.25" customHeight="1">
      <c r="A722" s="181">
        <f t="shared" si="250"/>
        <v>45292</v>
      </c>
      <c r="B722" s="485"/>
      <c r="C722" s="490"/>
      <c r="D722" s="521"/>
      <c r="E722" s="194" t="e">
        <f>DATE(YEAR(E721),MONTH(E721)+3,DAY(E721)-1)</f>
        <v>#NUM!</v>
      </c>
      <c r="F722" s="195" t="e">
        <f t="shared" si="252"/>
        <v>#NUM!</v>
      </c>
      <c r="G722" s="196" t="e">
        <f t="shared" si="253"/>
        <v>#NUM!</v>
      </c>
      <c r="H722" s="195" t="e">
        <f t="shared" si="254"/>
        <v>#NUM!</v>
      </c>
      <c r="I722" s="244">
        <v>-1</v>
      </c>
      <c r="J722" s="198" t="e">
        <f>F721-F720</f>
        <v>#NUM!</v>
      </c>
      <c r="K722" s="506" t="str">
        <f t="shared" si="251"/>
        <v>+Inflat.-P</v>
      </c>
      <c r="L722" s="511" t="e">
        <f>IF(M719="Stufe A",IF(AND(L720="Auswahl treffen",D721&gt;=0,D721&lt;=1000),J719,IF(AND(L720="Vermögend und ambulant",D721&gt;8,D721&lt;=1000),130,IF(AND(L720="Vermögend und ambulant",D721&gt;4,D721&lt;=8),158,IF(AND(L720="Vermögend und ambulant",D721&gt;2,D721&lt;=4),192,IF(AND(L720="Vermögend und ambulant",D721&gt;1,D721&lt;=2),208,IF(AND(L720="Vermögend und ambulant",D721&gt;0,D721&lt;=1),298,IF(AND(L720="Vermögend und stationär",D721&gt;8,D721&lt;=1000),78,IF(AND(L720="Vermögend und stationär",D721&gt;4,D721&lt;=8),91,IF(AND(L720="Vermögend und stationär",D721&gt;2,D721&lt;=4),140,IF(AND(L720="Vermögend und stationär",D721&gt;1,D721&lt;=2),158,IF(AND(L720="Vermögend und stationär",D721&gt;0,D721&lt;=1),200,IF(AND(L720="Mittellos und ambulant",D721&gt;8,D721&lt;=1000),105,IF(AND(L720="Mittellos und ambulant",D721&gt;4,D721&lt;=8),122,IF(AND(L720="Mittellos und ambulant",D721&gt;2,D721&lt;=4),151,IF(AND(L720="Mittellos und ambulant",D721&gt;1,D721&lt;=2),170,IF(AND(L720="Mittellos und ambulant",D721&gt;0,D721&lt;=1),208,IF(AND(L720="Mittellos und stationär",D721&gt;8,D721&lt;=1000),62,IF(AND(L720="Mittellos und stationär",D721&gt;4,D721&lt;=8),87,IF(AND(L720="Mittellos und stationär",D721&gt;2,D721&lt;=4),124,IF(AND(L720="Mittellos und stationär",D721&gt;1,D721&lt;=2),129,IF(AND(L720="Mittellos und stationär",D721&gt;0,D721&lt;=1),194,""))))))))))))))))))))),IF(M719="Stufe B",IF(AND(L720="Auswahl treffen",D721&gt;=0,D721&lt;=1000),J719,IF(AND(L720="Vermögend und ambulant",D721&gt;8,D721&lt;=1000),161,IF(AND(L720="Vermögend und ambulant",D721&gt;4,D721&lt;=8),196,IF(AND(L720="Vermögend und ambulant",D721&gt;2,D721&lt;=4),238,IF(AND(L720="Vermögend und ambulant",D721&gt;1,D721&lt;=2),258,IF(AND(L720="Vermögend und ambulant",D721&gt;0,D721&lt;=1),370,IF(AND(L720="Vermögend und stationär",D721&gt;8,D721&lt;=1000),96,IF(AND(L720="Vermögend und stationär",D721&gt;4,D721&lt;=8),113,IF(AND(L720="Vermögend und stationär",D721&gt;2,D721&lt;=4),174,IF(AND(L720="Vermögend und stationär",D721&gt;1,D721&lt;=2),196,IF(AND(L720="Vermögend und stationär",D721&gt;0,D721&lt;=1),249,IF(AND(L720="Mittellos und ambulant",D721&gt;8,D721&lt;=1000),130,IF(AND(L720="Mittellos und ambulant",D721&gt;4,D721&lt;=8),151,IF(AND(L720="Mittellos und ambulant",D721&gt;2,D721&lt;=4),188,IF(AND(L720="Mittellos und ambulant",D721&gt;1,D721&lt;=2),211,IF(AND(L720="Mittellos und ambulant",D721&gt;0,D721&lt;=1),258,IF(AND(L720="Mittellos und stationär",D721&gt;8,D721&lt;=1000),78,IF(AND(L720="Mittellos und stationär",D721&gt;4,D721&lt;=8),107,IF(AND(L720="Mittellos und stationär",D721&gt;2,D721&lt;=4),154,IF(AND(L720="Mittellos und stationär",D721&gt;1,D721&lt;=2),158,IF(AND(L720="Mittellos und stationär",D721&gt;0,D721&lt;=1),241,""))))))))))))))))))))),IF(M719="Stufe C",IF(AND(L720="Auswahl treffen",D721&gt;=0,D721&lt;=1000),J719,IF(AND(L720="Vermögend und ambulant",D721&gt;8,D721&lt;=1000),211,IF(AND(L720="Vermögend und ambulant",D721&gt;4,D721&lt;=8),257,IF(AND(L720="Vermögend und ambulant",D721&gt;2,D721&lt;=4),312,IF(AND(L720="Vermögend und ambulant",D721&gt;1,D721&lt;=2),339,IF(AND(L720="Vermögend und ambulant",D721&gt;0,D721&lt;=1),486,IF(AND(L720="Vermögend und stationär",D721&gt;8,D721&lt;=1000),127,IF(AND(L720="Vermögend und stationär",D721&gt;4,D721&lt;=8),149,IF(AND(L720="Vermögend und stationär",D721&gt;2,D721&lt;=4),229,IF(AND(L720="Vermögend und stationär",D721&gt;1,D721&lt;=2),257,IF(AND(L720="Vermögend und stationär",D721&gt;0,D721&lt;=1),327,IF(AND(L720="Mittellos und ambulant",D721&gt;8,D721&lt;=1000),171,IF(AND(L720="Mittellos und ambulant",D721&gt;4,D721&lt;=8),198,IF(AND(L720="Mittellos und ambulant",D721&gt;2,D721&lt;=4),246,IF(AND(L720="Mittellos und ambulant",D721&gt;1,D721&lt;=2),277,IF(AND(L720="Mittellos und ambulant",D721&gt;0,D721&lt;=1),339,IF(AND(L720="Mittellos und stationär",D721&gt;8,D721&lt;=1000),102,IF(AND(L720="Mittellos und stationär",D721&gt;4,D721&lt;=8),141,IF(AND(L720="Mittellos und stationär",D721&gt;2,D721&lt;=4),202,IF(AND(L720="Mittellos und stationär",D721&gt;1,D721&lt;=2),208,IF(AND(L720="Mittellos und stationär",D721&gt;0,D721&lt;=1),317,""))))))))))))))))))))),"")))*3+(J719*90)</f>
        <v>#NUM!</v>
      </c>
      <c r="M722" s="507" t="str">
        <f>CONCATENATE(K722, K721)</f>
        <v>+Inflat.-P</v>
      </c>
      <c r="N722" s="206" t="s">
        <v>118</v>
      </c>
      <c r="O722" s="207"/>
      <c r="P722" s="207"/>
      <c r="Q722" s="208"/>
      <c r="R722" s="187"/>
      <c r="S722" s="209" t="s">
        <v>118</v>
      </c>
      <c r="T722" s="201" t="s">
        <v>117</v>
      </c>
      <c r="U722" s="210" t="s">
        <v>26</v>
      </c>
      <c r="V722" s="192"/>
      <c r="W722" s="203"/>
      <c r="X722" s="203"/>
      <c r="Y722" s="210"/>
      <c r="Z722" s="192"/>
      <c r="AA722" s="203"/>
      <c r="AB722" s="203"/>
      <c r="AC722" s="210"/>
      <c r="AD722" s="192"/>
      <c r="AE722" s="203"/>
      <c r="AF722" s="203"/>
      <c r="AG722" s="210"/>
      <c r="AH722" s="193"/>
      <c r="AI722" s="203"/>
      <c r="AJ722" s="203"/>
      <c r="AK722" s="376"/>
      <c r="AL722" s="348" t="s">
        <v>148</v>
      </c>
      <c r="AM722" s="354">
        <f>IF(SUM(N720:N728)=SUM(S720:S728), 0, SUM(N720:N728)-SUM(S720:S728))</f>
        <v>0</v>
      </c>
      <c r="AN722" s="354"/>
      <c r="AO722" s="354"/>
      <c r="AP722" s="354"/>
      <c r="AQ722" s="350">
        <f>AM722+AN722+AO722+AP722</f>
        <v>0</v>
      </c>
      <c r="AR722" s="769"/>
      <c r="AS722" s="769"/>
      <c r="AT722" s="769"/>
      <c r="BM722" s="335"/>
    </row>
    <row r="723" spans="1:65" ht="22.25" customHeight="1">
      <c r="A723" s="181">
        <f t="shared" si="250"/>
        <v>45292</v>
      </c>
      <c r="B723" s="484" t="e">
        <f>MONTH(I720)</f>
        <v>#NUM!</v>
      </c>
      <c r="C723" s="489" t="s">
        <v>158</v>
      </c>
      <c r="D723" s="522" t="e">
        <f>D721+1</f>
        <v>#NUM!</v>
      </c>
      <c r="E723" s="211" t="e">
        <f>DATE(YEAR(E722),MONTH(E722),DAY(E722)+1)</f>
        <v>#NUM!</v>
      </c>
      <c r="F723" s="212" t="e">
        <f t="shared" si="252"/>
        <v>#NUM!</v>
      </c>
      <c r="G723" s="213" t="e">
        <f t="shared" si="253"/>
        <v>#NUM!</v>
      </c>
      <c r="H723" s="212" t="e">
        <f t="shared" si="254"/>
        <v>#NUM!</v>
      </c>
      <c r="I723" s="214" t="str">
        <f>IF(D720&lt;&gt;0,"-1T","")</f>
        <v/>
      </c>
      <c r="J723" s="215" t="e">
        <f>DATE($B725,I724,$B721)</f>
        <v>#NUM!</v>
      </c>
      <c r="K723" s="501" t="str">
        <f t="shared" si="251"/>
        <v/>
      </c>
      <c r="L723" s="470"/>
      <c r="M723" s="473" t="e">
        <f ca="1">SUM(J720-E724)&amp;" Tage"</f>
        <v>#NUM!</v>
      </c>
      <c r="N723" s="216"/>
      <c r="O723" s="217"/>
      <c r="P723" s="188"/>
      <c r="Q723" s="217"/>
      <c r="R723" s="189"/>
      <c r="S723" s="190"/>
      <c r="T723" s="190"/>
      <c r="U723" s="191"/>
      <c r="V723" s="192"/>
      <c r="W723" s="190"/>
      <c r="X723" s="190"/>
      <c r="Y723" s="191"/>
      <c r="Z723" s="192"/>
      <c r="AA723" s="190"/>
      <c r="AB723" s="190"/>
      <c r="AC723" s="191"/>
      <c r="AD723" s="192"/>
      <c r="AE723" s="190"/>
      <c r="AF723" s="190"/>
      <c r="AG723" s="191"/>
      <c r="AH723" s="193"/>
      <c r="AI723" s="190"/>
      <c r="AJ723" s="190"/>
      <c r="AK723" s="374"/>
      <c r="AL723" s="348"/>
      <c r="AM723" s="354"/>
      <c r="AN723" s="354"/>
      <c r="AO723" s="354"/>
      <c r="AP723" s="354"/>
      <c r="AQ723" s="350"/>
      <c r="AR723" s="769"/>
      <c r="AS723" s="769"/>
      <c r="AT723" s="769"/>
      <c r="BM723" s="335"/>
    </row>
    <row r="724" spans="1:65" ht="22.25" customHeight="1">
      <c r="A724" s="181">
        <f t="shared" si="250"/>
        <v>45292</v>
      </c>
      <c r="B724" s="485"/>
      <c r="C724" s="490"/>
      <c r="D724" s="521"/>
      <c r="E724" s="218" t="e">
        <f>DATE(YEAR(E723),MONTH(E723)+3,DAY(E723)-1)</f>
        <v>#NUM!</v>
      </c>
      <c r="F724" s="212" t="e">
        <f t="shared" si="252"/>
        <v>#NUM!</v>
      </c>
      <c r="G724" s="213" t="e">
        <f t="shared" si="253"/>
        <v>#NUM!</v>
      </c>
      <c r="H724" s="212" t="e">
        <f t="shared" si="254"/>
        <v>#NUM!</v>
      </c>
      <c r="I724" s="219">
        <f>MAX(I725:I728)</f>
        <v>9</v>
      </c>
      <c r="J724" s="220" t="e">
        <f>DATE(YEAR(J723)+1,MONTH(J723),DAY(J723))</f>
        <v>#NUM!</v>
      </c>
      <c r="K724" s="506" t="str">
        <f t="shared" si="251"/>
        <v>+Inflat.-P</v>
      </c>
      <c r="L724" s="508" t="e">
        <f>IF(M719="Stufe A",IF(AND(L720="Auswahl treffen",D723&gt;=0,D723&lt;=1000),J719,IF(AND(L720="Vermögend und ambulant",D723&gt;8,D723&lt;=1000),130,IF(AND(L720="Vermögend und ambulant",D723&gt;4,D723&lt;=8),158,IF(AND(L720="Vermögend und ambulant",D723&gt;2,D723&lt;=4),192,IF(AND(L720="Vermögend und ambulant",D723&gt;1,D723&lt;=2),208,IF(AND(L720="Vermögend und ambulant",D723&gt;0,D723&lt;=1),298,IF(AND(L720="Vermögend und stationär",D723&gt;8,D723&lt;=1000),78,IF(AND(L720="Vermögend und stationär",D723&gt;4,D723&lt;=8),91,IF(AND(L720="Vermögend und stationär",D723&gt;2,D723&lt;=4),140,IF(AND(L720="Vermögend und stationär",D723&gt;1,D723&lt;=2),158,IF(AND(L720="Vermögend und stationär",D723&gt;0,D723&lt;=1),200,IF(AND(L720="Mittellos und ambulant",D723&gt;8,D723&lt;=1000),105,IF(AND(L720="Mittellos und ambulant",D723&gt;4,D723&lt;=8),122,IF(AND(L720="Mittellos und ambulant",D723&gt;2,D723&lt;=4),151,IF(AND(L720="Mittellos und ambulant",D723&gt;1,D723&lt;=2),170,IF(AND(L720="Mittellos und ambulant",D723&gt;0,D723&lt;=1),208,IF(AND(L720="Mittellos und stationär",D723&gt;8,D723&lt;=1000),62,IF(AND(L720="Mittellos und stationär",D723&gt;4,D723&lt;=8),87,IF(AND(L720="Mittellos und stationär",D723&gt;2,D723&lt;=4),124,IF(AND(L720="Mittellos und stationär",D723&gt;1,D723&lt;=2),129,IF(AND(L720="Mittellos und stationär",D723&gt;0,D723&lt;=1),194,""))))))))))))))))))))),IF(M719="Stufe B",IF(AND(L720="Auswahl treffen",D723&gt;=0,D723&lt;=1000),J719,IF(AND(L720="Vermögend und ambulant",D723&gt;8,D723&lt;=1000),161,IF(AND(L720="Vermögend und ambulant",D723&gt;4,D723&lt;=8),196,IF(AND(L720="Vermögend und ambulant",D723&gt;2,D723&lt;=4),238,IF(AND(L720="Vermögend und ambulant",D723&gt;1,D723&lt;=2),258,IF(AND(L720="Vermögend und ambulant",D723&gt;0,D723&lt;=1),370,IF(AND(L720="Vermögend und stationär",D723&gt;8,D723&lt;=1000),96,IF(AND(L720="Vermögend und stationär",D723&gt;4,D723&lt;=8),113,IF(AND(L720="Vermögend und stationär",D723&gt;2,D723&lt;=4),174,IF(AND(L720="Vermögend und stationär",D723&gt;1,D723&lt;=2),196,IF(AND(L720="Vermögend und stationär",D723&gt;0,D723&lt;=1),249,IF(AND(L720="Mittellos und ambulant",D723&gt;8,D723&lt;=1000),130,IF(AND(L720="Mittellos und ambulant",D723&gt;4,D723&lt;=8),151,IF(AND(L720="Mittellos und ambulant",D723&gt;2,D723&lt;=4),188,IF(AND(L720="Mittellos und ambulant",D723&gt;1,D723&lt;=2),211,IF(AND(L720="Mittellos und ambulant",D723&gt;0,D723&lt;=1),258,IF(AND(L720="Mittellos und stationär",D723&gt;8,D723&lt;=1000),78,IF(AND(L720="Mittellos und stationär",D723&gt;4,D723&lt;=8),107,IF(AND(L720="Mittellos und stationär",D723&gt;2,D723&lt;=4),154,IF(AND(L720="Mittellos und stationär",D723&gt;1,D723&lt;=2),158,IF(AND(L720="Mittellos und stationär",D723&gt;0,D723&lt;=1),241,""))))))))))))))))))))),IF(M719="Stufe C",IF(AND(L720="Auswahl treffen",D723&gt;=0,D723&lt;=1000),J719,IF(AND(L720="Vermögend und ambulant",D723&gt;8,D723&lt;=1000),211,IF(AND(L720="Vermögend und ambulant",D723&gt;4,D723&lt;=8),257,IF(AND(L720="Vermögend und ambulant",D723&gt;2,D723&lt;=4),312,IF(AND(L720="Vermögend und ambulant",D723&gt;1,D723&lt;=2),339,IF(AND(L720="Vermögend und ambulant",D723&gt;0,D723&lt;=1),486,IF(AND(L720="Vermögend und stationär",D723&gt;8,D723&lt;=1000),127,IF(AND(L720="Vermögend und stationär",D723&gt;4,D723&lt;=8),149,IF(AND(L720="Vermögend und stationär",D723&gt;2,D723&lt;=4),229,IF(AND(L720="Vermögend und stationär",D723&gt;1,D723&lt;=2),257,IF(AND(L720="Vermögend und stationär",D723&gt;0,D723&lt;=1),327,IF(AND(L720="Mittellos und ambulant",D723&gt;8,D723&lt;=1000),171,IF(AND(L720="Mittellos und ambulant",D723&gt;4,D723&lt;=8),198,IF(AND(L720="Mittellos und ambulant",D723&gt;2,D723&lt;=4),246,IF(AND(L720="Mittellos und ambulant",D723&gt;1,D723&lt;=2),277,IF(AND(L720="Mittellos und ambulant",D723&gt;0,D723&lt;=1),339,IF(AND(L720="Mittellos und stationär",D723&gt;8,D723&lt;=1000),102,IF(AND(L720="Mittellos und stationär",D723&gt;4,D723&lt;=8),141,IF(AND(L720="Mittellos und stationär",D723&gt;2,D723&lt;=4),202,IF(AND(L720="Mittellos und stationär",D723&gt;1,D723&lt;=2),208,IF(AND(L720="Mittellos und stationär",D723&gt;0,D723&lt;=1),317,""))))))))))))))))))))),"")))*3+(J719*90)</f>
        <v>#NUM!</v>
      </c>
      <c r="M724" s="507" t="str">
        <f>CONCATENATE(K724, K723)</f>
        <v>+Inflat.-P</v>
      </c>
      <c r="N724" s="216"/>
      <c r="O724" s="188" t="s">
        <v>118</v>
      </c>
      <c r="P724" s="188"/>
      <c r="Q724" s="221"/>
      <c r="R724" s="199"/>
      <c r="S724" s="190"/>
      <c r="T724" s="190"/>
      <c r="U724" s="191"/>
      <c r="V724" s="192"/>
      <c r="W724" s="222" t="s">
        <v>118</v>
      </c>
      <c r="X724" s="222" t="s">
        <v>117</v>
      </c>
      <c r="Y724" s="191" t="s">
        <v>26</v>
      </c>
      <c r="Z724" s="192"/>
      <c r="AA724" s="190"/>
      <c r="AB724" s="190"/>
      <c r="AC724" s="191"/>
      <c r="AD724" s="192"/>
      <c r="AE724" s="190"/>
      <c r="AF724" s="190"/>
      <c r="AG724" s="191"/>
      <c r="AH724" s="193"/>
      <c r="AI724" s="190"/>
      <c r="AJ724" s="190"/>
      <c r="AK724" s="374"/>
      <c r="AL724" s="348" t="s">
        <v>149</v>
      </c>
      <c r="AM724" s="354"/>
      <c r="AN724" s="354">
        <f>IF(SUM(O720:O728)=SUM(W720:W728), 0, SUM(O720:O728)-SUM(W720:W728))</f>
        <v>0</v>
      </c>
      <c r="AO724" s="354"/>
      <c r="AP724" s="354"/>
      <c r="AQ724" s="350">
        <f>AM724+AN724+AO724+AP724</f>
        <v>0</v>
      </c>
      <c r="AR724" s="769"/>
      <c r="AS724" s="769"/>
      <c r="AT724" s="769"/>
      <c r="BM724" s="335"/>
    </row>
    <row r="725" spans="1:65" ht="22.25" customHeight="1">
      <c r="A725" s="181">
        <f t="shared" si="250"/>
        <v>45292</v>
      </c>
      <c r="B725" s="484">
        <f>YEAR($A726)-1</f>
        <v>2023</v>
      </c>
      <c r="C725" s="489" t="s">
        <v>158</v>
      </c>
      <c r="D725" s="520" t="e">
        <f>D723+1</f>
        <v>#NUM!</v>
      </c>
      <c r="E725" s="194" t="e">
        <f>DATE(YEAR(E724),MONTH(E724),DAY(E724)+1)</f>
        <v>#NUM!</v>
      </c>
      <c r="F725" s="195" t="e">
        <f t="shared" si="252"/>
        <v>#NUM!</v>
      </c>
      <c r="G725" s="196" t="e">
        <f t="shared" si="253"/>
        <v>#NUM!</v>
      </c>
      <c r="H725" s="195" t="e">
        <f t="shared" si="254"/>
        <v>#NUM!</v>
      </c>
      <c r="I725" s="197">
        <f>IF(J727&lt;13,J727,"")</f>
        <v>9</v>
      </c>
      <c r="J725" s="224">
        <f>G720</f>
        <v>0</v>
      </c>
      <c r="K725" s="501" t="str">
        <f t="shared" si="251"/>
        <v/>
      </c>
      <c r="L725" s="471"/>
      <c r="M725" s="473" t="e">
        <f ca="1">SUM(J720-E726)&amp;" Tage"</f>
        <v>#NUM!</v>
      </c>
      <c r="N725" s="200"/>
      <c r="O725" s="201"/>
      <c r="P725" s="201"/>
      <c r="Q725" s="202"/>
      <c r="R725" s="189"/>
      <c r="S725" s="203"/>
      <c r="T725" s="203"/>
      <c r="U725" s="204"/>
      <c r="V725" s="192"/>
      <c r="W725" s="203"/>
      <c r="X725" s="203"/>
      <c r="Y725" s="204"/>
      <c r="Z725" s="192"/>
      <c r="AA725" s="203"/>
      <c r="AB725" s="203"/>
      <c r="AC725" s="204"/>
      <c r="AD725" s="192"/>
      <c r="AE725" s="203"/>
      <c r="AF725" s="203"/>
      <c r="AG725" s="204"/>
      <c r="AH725" s="193"/>
      <c r="AI725" s="203"/>
      <c r="AJ725" s="203"/>
      <c r="AK725" s="375"/>
      <c r="AL725" s="348"/>
      <c r="AM725" s="354"/>
      <c r="AN725" s="354"/>
      <c r="AO725" s="354"/>
      <c r="AP725" s="354"/>
      <c r="AQ725" s="350"/>
      <c r="AR725" s="769"/>
      <c r="AS725" s="769"/>
      <c r="AT725" s="769"/>
      <c r="BM725" s="335"/>
    </row>
    <row r="726" spans="1:65" ht="22.25" customHeight="1">
      <c r="A726" s="181">
        <f t="shared" si="250"/>
        <v>45292</v>
      </c>
      <c r="B726" s="485"/>
      <c r="C726" s="490"/>
      <c r="D726" s="521"/>
      <c r="E726" s="194" t="e">
        <f>DATE(YEAR(E725),MONTH(E725)+3,DAY(E725)-1)</f>
        <v>#NUM!</v>
      </c>
      <c r="F726" s="195" t="e">
        <f t="shared" si="252"/>
        <v>#NUM!</v>
      </c>
      <c r="G726" s="196" t="e">
        <f t="shared" si="253"/>
        <v>#NUM!</v>
      </c>
      <c r="H726" s="195" t="e">
        <f t="shared" si="254"/>
        <v>#NUM!</v>
      </c>
      <c r="I726" s="244">
        <f>IF(J728&lt;13,J728,"")</f>
        <v>6</v>
      </c>
      <c r="J726" s="224">
        <f>J725+3</f>
        <v>3</v>
      </c>
      <c r="K726" s="501" t="str">
        <f t="shared" si="251"/>
        <v>+Inflat.-P</v>
      </c>
      <c r="L726" s="511" t="e">
        <f>IF(M719="Stufe A",IF(AND(L720="Auswahl treffen",D725&gt;=0,D725&lt;=1000),J719,IF(AND(L720="Vermögend und ambulant",D725&gt;8,D725&lt;=1000),130,IF(AND(L720="Vermögend und ambulant",D725&gt;4,D725&lt;=8),158,IF(AND(L720="Vermögend und ambulant",D725&gt;2,D725&lt;=4),192,IF(AND(L720="Vermögend und ambulant",D725&gt;1,D725&lt;=2),208,IF(AND(L720="Vermögend und ambulant",D725&gt;0,D725&lt;=1),298,IF(AND(L720="Vermögend und stationär",D725&gt;8,D725&lt;=1000),78,IF(AND(L720="Vermögend und stationär",D725&gt;4,D725&lt;=8),91,IF(AND(L720="Vermögend und stationär",D725&gt;2,D725&lt;=4),140,IF(AND(L720="Vermögend und stationär",D725&gt;1,D725&lt;=2),158,IF(AND(L720="Vermögend und stationär",D725&gt;0,D725&lt;=1),200,IF(AND(L720="Mittellos und ambulant",D725&gt;8,D725&lt;=1000),105,IF(AND(L720="Mittellos und ambulant",D725&gt;4,D725&lt;=8),122,IF(AND(L720="Mittellos und ambulant",D725&gt;2,D725&lt;=4),151,IF(AND(L720="Mittellos und ambulant",D725&gt;1,D725&lt;=2),170,IF(AND(L720="Mittellos und ambulant",D725&gt;0,D725&lt;=1),208,IF(AND(L720="Mittellos und stationär",D725&gt;8,D725&lt;=1000),62,IF(AND(L720="Mittellos und stationär",D725&gt;4,D725&lt;=8),87,IF(AND(L720="Mittellos und stationär",D725&gt;2,D725&lt;=4),124,IF(AND(L720="Mittellos und stationär",D725&gt;1,D725&lt;=2),129,IF(AND(L720="Mittellos und stationär",D725&gt;0,D725&lt;=1),194,""))))))))))))))))))))),IF(M719="Stufe B",IF(AND(L720="Auswahl treffen",D725&gt;=0,D725&lt;=1000),J719,IF(AND(L720="Vermögend und ambulant",D725&gt;8,D725&lt;=1000),161,IF(AND(L720="Vermögend und ambulant",D725&gt;4,D725&lt;=8),196,IF(AND(L720="Vermögend und ambulant",D725&gt;2,D725&lt;=4),238,IF(AND(L720="Vermögend und ambulant",D725&gt;1,D725&lt;=2),258,IF(AND(L720="Vermögend und ambulant",D725&gt;0,D725&lt;=1),370,IF(AND(L720="Vermögend und stationär",D725&gt;8,D725&lt;=1000),96,IF(AND(L720="Vermögend und stationär",D725&gt;4,D725&lt;=8),113,IF(AND(L720="Vermögend und stationär",D725&gt;2,D725&lt;=4),174,IF(AND(L720="Vermögend und stationär",D725&gt;1,D725&lt;=2),196,IF(AND(L720="Vermögend und stationär",D725&gt;0,D725&lt;=1),249,IF(AND(L720="Mittellos und ambulant",D725&gt;8,D725&lt;=1000),130,IF(AND(L720="Mittellos und ambulant",D725&gt;4,D725&lt;=8),151,IF(AND(L720="Mittellos und ambulant",D725&gt;2,D725&lt;=4),188,IF(AND(L720="Mittellos und ambulant",D725&gt;1,D725&lt;=2),211,IF(AND(L720="Mittellos und ambulant",D725&gt;0,D725&lt;=1),258,IF(AND(L720="Mittellos und stationär",D725&gt;8,D725&lt;=1000),78,IF(AND(L720="Mittellos und stationär",D725&gt;4,D725&lt;=8),107,IF(AND(L720="Mittellos und stationär",D725&gt;2,D725&lt;=4),154,IF(AND(L720="Mittellos und stationär",D725&gt;1,D725&lt;=2),158,IF(AND(L720="Mittellos und stationär",D725&gt;0,D725&lt;=1),241,""))))))))))))))))))))),IF(M719="Stufe C",IF(AND(L720="Auswahl treffen",D725&gt;=0,D725&lt;=1000),J719,IF(AND(L720="Vermögend und ambulant",D725&gt;8,D725&lt;=1000),211,IF(AND(L720="Vermögend und ambulant",D725&gt;4,D725&lt;=8),257,IF(AND(L720="Vermögend und ambulant",D725&gt;2,D725&lt;=4),312,IF(AND(L720="Vermögend und ambulant",D725&gt;1,D725&lt;=2),339,IF(AND(L720="Vermögend und ambulant",D725&gt;0,D725&lt;=1),486,IF(AND(L720="Vermögend und stationär",D725&gt;8,D725&lt;=1000),127,IF(AND(L720="Vermögend und stationär",D725&gt;4,D725&lt;=8),149,IF(AND(L720="Vermögend und stationär",D725&gt;2,D725&lt;=4),229,IF(AND(L720="Vermögend und stationär",D725&gt;1,D725&lt;=2),257,IF(AND(L720="Vermögend und stationär",D725&gt;0,D725&lt;=1),327,IF(AND(L720="Mittellos und ambulant",D725&gt;8,D725&lt;=1000),171,IF(AND(L720="Mittellos und ambulant",D725&gt;4,D725&lt;=8),198,IF(AND(L720="Mittellos und ambulant",D725&gt;2,D725&lt;=4),246,IF(AND(L720="Mittellos und ambulant",D725&gt;1,D725&lt;=2),277,IF(AND(L720="Mittellos und ambulant",D725&gt;0,D725&lt;=1),339,IF(AND(L720="Mittellos und stationär",D725&gt;8,D725&lt;=1000),102,IF(AND(L720="Mittellos und stationär",D725&gt;4,D725&lt;=8),141,IF(AND(L720="Mittellos und stationär",D725&gt;2,D725&lt;=4),202,IF(AND(L720="Mittellos und stationär",D725&gt;1,D725&lt;=2),208,IF(AND(L720="Mittellos und stationär",D725&gt;0,D725&lt;=1),317,""))))))))))))))))))))),"")))*3+(J719*90)</f>
        <v>#NUM!</v>
      </c>
      <c r="M726" s="507" t="str">
        <f>CONCATENATE(K726, K725)</f>
        <v>+Inflat.-P</v>
      </c>
      <c r="N726" s="206"/>
      <c r="O726" s="207"/>
      <c r="P726" s="206" t="s">
        <v>118</v>
      </c>
      <c r="Q726" s="226"/>
      <c r="R726" s="189"/>
      <c r="S726" s="203"/>
      <c r="T726" s="203"/>
      <c r="U726" s="204"/>
      <c r="V726" s="192"/>
      <c r="W726" s="203"/>
      <c r="X726" s="203"/>
      <c r="Y726" s="204"/>
      <c r="Z726" s="192"/>
      <c r="AA726" s="209" t="s">
        <v>118</v>
      </c>
      <c r="AB726" s="209" t="s">
        <v>117</v>
      </c>
      <c r="AC726" s="204" t="s">
        <v>26</v>
      </c>
      <c r="AD726" s="192"/>
      <c r="AE726" s="203"/>
      <c r="AF726" s="203"/>
      <c r="AG726" s="204"/>
      <c r="AH726" s="193"/>
      <c r="AI726" s="203"/>
      <c r="AJ726" s="203"/>
      <c r="AK726" s="375"/>
      <c r="AL726" s="348" t="s">
        <v>150</v>
      </c>
      <c r="AM726" s="354"/>
      <c r="AN726" s="354"/>
      <c r="AO726" s="354">
        <f>IF(SUM(P720:P728)=SUM(AA720:AA728), 0, SUM(P720:P728)-SUM(AA720:AA728))</f>
        <v>0</v>
      </c>
      <c r="AP726" s="354"/>
      <c r="AQ726" s="350">
        <f>AM726+AN726+AO726+AP726</f>
        <v>0</v>
      </c>
      <c r="AR726" s="769"/>
      <c r="AS726" s="769"/>
      <c r="AT726" s="769"/>
      <c r="BM726" s="335"/>
    </row>
    <row r="727" spans="1:65" ht="22.25" customHeight="1">
      <c r="A727" s="181">
        <f t="shared" si="250"/>
        <v>45292</v>
      </c>
      <c r="B727" s="486"/>
      <c r="C727" s="489" t="s">
        <v>158</v>
      </c>
      <c r="D727" s="522" t="e">
        <f>D725+1</f>
        <v>#NUM!</v>
      </c>
      <c r="E727" s="211" t="e">
        <f>DATE(YEAR(E726),MONTH(E726),DAY(E726)+1)</f>
        <v>#NUM!</v>
      </c>
      <c r="F727" s="227" t="e">
        <f t="shared" si="252"/>
        <v>#NUM!</v>
      </c>
      <c r="G727" s="228" t="e">
        <f t="shared" si="253"/>
        <v>#NUM!</v>
      </c>
      <c r="H727" s="227" t="e">
        <f t="shared" si="254"/>
        <v>#NUM!</v>
      </c>
      <c r="I727" s="231">
        <f>IF(J726&lt;13,J726,"")</f>
        <v>3</v>
      </c>
      <c r="J727" s="230">
        <f>J728+3</f>
        <v>9</v>
      </c>
      <c r="K727" s="506" t="str">
        <f t="shared" si="251"/>
        <v/>
      </c>
      <c r="L727" s="471"/>
      <c r="M727" s="473" t="e">
        <f ca="1">SUM(J720-E728)&amp;" Tage"</f>
        <v>#NUM!</v>
      </c>
      <c r="N727" s="216"/>
      <c r="O727" s="188"/>
      <c r="P727" s="188"/>
      <c r="Q727" s="217"/>
      <c r="R727" s="189"/>
      <c r="S727" s="190"/>
      <c r="T727" s="190"/>
      <c r="U727" s="191"/>
      <c r="V727" s="192"/>
      <c r="W727" s="190"/>
      <c r="X727" s="190"/>
      <c r="Y727" s="191"/>
      <c r="Z727" s="192"/>
      <c r="AA727" s="190"/>
      <c r="AB727" s="190"/>
      <c r="AC727" s="191"/>
      <c r="AD727" s="192"/>
      <c r="AE727" s="190"/>
      <c r="AF727" s="190"/>
      <c r="AG727" s="191"/>
      <c r="AH727" s="193"/>
      <c r="AI727" s="190"/>
      <c r="AJ727" s="190"/>
      <c r="AK727" s="374"/>
      <c r="AL727" s="348"/>
      <c r="AM727" s="354"/>
      <c r="AN727" s="354"/>
      <c r="AO727" s="354"/>
      <c r="AP727" s="354"/>
      <c r="AQ727" s="350"/>
      <c r="AR727" s="769"/>
      <c r="AS727" s="769"/>
      <c r="AT727" s="769"/>
      <c r="BM727" s="335"/>
    </row>
    <row r="728" spans="1:65" ht="22.25" customHeight="1">
      <c r="A728" s="181">
        <f t="shared" si="250"/>
        <v>45292</v>
      </c>
      <c r="B728" s="485"/>
      <c r="C728" s="490"/>
      <c r="D728" s="521"/>
      <c r="E728" s="218" t="e">
        <f>DATE(YEAR(E727),MONTH(E727)+3,DAY(E727)-1)</f>
        <v>#NUM!</v>
      </c>
      <c r="F728" s="227" t="e">
        <f t="shared" si="252"/>
        <v>#NUM!</v>
      </c>
      <c r="G728" s="228" t="e">
        <f t="shared" si="253"/>
        <v>#NUM!</v>
      </c>
      <c r="H728" s="227" t="e">
        <f t="shared" si="254"/>
        <v>#NUM!</v>
      </c>
      <c r="I728" s="231">
        <f>IF(J725&lt;13,J725,"")</f>
        <v>0</v>
      </c>
      <c r="J728" s="230">
        <f>J726+3</f>
        <v>6</v>
      </c>
      <c r="K728" s="501" t="str">
        <f t="shared" si="251"/>
        <v>+Inflat.-P</v>
      </c>
      <c r="L728" s="508" t="e">
        <f>IF(M719="Stufe A",IF(AND(L720="Auswahl treffen",D727&gt;=0,D727&lt;=1000),J719,IF(AND(L720="Vermögend und ambulant",D727&gt;8,D727&lt;=1000),130,IF(AND(L720="Vermögend und ambulant",D727&gt;4,D727&lt;=8),158,IF(AND(L720="Vermögend und ambulant",D727&gt;2,D727&lt;=4),192,IF(AND(L720="Vermögend und ambulant",D727&gt;1,D727&lt;=2),208,IF(AND(L720="Vermögend und ambulant",D727&gt;0,D727&lt;=1),298,IF(AND(L720="Vermögend und stationär",D727&gt;8,D727&lt;=1000),78,IF(AND(L720="Vermögend und stationär",D727&gt;4,D727&lt;=8),91,IF(AND(L720="Vermögend und stationär",D727&gt;2,D727&lt;=4),140,IF(AND(L720="Vermögend und stationär",D727&gt;1,D727&lt;=2),158,IF(AND(L720="Vermögend und stationär",D727&gt;0,D727&lt;=1),200,IF(AND(L720="Mittellos und ambulant",D727&gt;8,D727&lt;=1000),105,IF(AND(L720="Mittellos und ambulant",D727&gt;4,D727&lt;=8),122,IF(AND(L720="Mittellos und ambulant",D727&gt;2,D727&lt;=4),151,IF(AND(L720="Mittellos und ambulant",D727&gt;1,D727&lt;=2),170,IF(AND(L720="Mittellos und ambulant",D727&gt;0,D727&lt;=1),208,IF(AND(L720="Mittellos und stationär",D727&gt;8,D727&lt;=1000),62,IF(AND(L720="Mittellos und stationär",D727&gt;4,D727&lt;=8),87,IF(AND(L720="Mittellos und stationär",D727&gt;2,D727&lt;=4),124,IF(AND(L720="Mittellos und stationär",D727&gt;1,D727&lt;=2),129,IF(AND(L720="Mittellos und stationär",D727&gt;0,D727&lt;=1),194,""))))))))))))))))))))),IF(M719="Stufe B",IF(AND(L720="Auswahl treffen",D727&gt;=0,D727&lt;=1000),J719,IF(AND(L720="Vermögend und ambulant",D727&gt;8,D727&lt;=1000),161,IF(AND(L720="Vermögend und ambulant",D727&gt;4,D727&lt;=8),196,IF(AND(L720="Vermögend und ambulant",D727&gt;2,D727&lt;=4),238,IF(AND(L720="Vermögend und ambulant",D727&gt;1,D727&lt;=2),258,IF(AND(L720="Vermögend und ambulant",D727&gt;0,D727&lt;=1),370,IF(AND(L720="Vermögend und stationär",D727&gt;8,D727&lt;=1000),96,IF(AND(L720="Vermögend und stationär",D727&gt;4,D727&lt;=8),113,IF(AND(L720="Vermögend und stationär",D727&gt;2,D727&lt;=4),174,IF(AND(L720="Vermögend und stationär",D727&gt;1,D727&lt;=2),196,IF(AND(L720="Vermögend und stationär",D727&gt;0,D727&lt;=1),249,IF(AND(L720="Mittellos und ambulant",D727&gt;8,D727&lt;=1000),130,IF(AND(L720="Mittellos und ambulant",D727&gt;4,D727&lt;=8),151,IF(AND(L720="Mittellos und ambulant",D727&gt;2,D727&lt;=4),188,IF(AND(L720="Mittellos und ambulant",D727&gt;1,D727&lt;=2),211,IF(AND(L720="Mittellos und ambulant",D727&gt;0,D727&lt;=1),258,IF(AND(L720="Mittellos und stationär",D727&gt;8,D727&lt;=1000),78,IF(AND(L720="Mittellos und stationär",D727&gt;4,D727&lt;=8),107,IF(AND(L720="Mittellos und stationär",D727&gt;2,D727&lt;=4),154,IF(AND(L720="Mittellos und stationär",D727&gt;1,D727&lt;=2),158,IF(AND(L720="Mittellos und stationär",D727&gt;0,D727&lt;=1),241,""))))))))))))))))))))),IF(M719="Stufe C",IF(AND(L720="Auswahl treffen",D727&gt;=0,D727&lt;=1000),J719,IF(AND(L720="Vermögend und ambulant",D727&gt;8,D727&lt;=1000),211,IF(AND(L720="Vermögend und ambulant",D727&gt;4,D727&lt;=8),257,IF(AND(L720="Vermögend und ambulant",D727&gt;2,D727&lt;=4),312,IF(AND(L720="Vermögend und ambulant",D727&gt;1,D727&lt;=2),339,IF(AND(L720="Vermögend und ambulant",D727&gt;0,D727&lt;=1),486,IF(AND(L720="Vermögend und stationär",D727&gt;8,D727&lt;=1000),127,IF(AND(L720="Vermögend und stationär",D727&gt;4,D727&lt;=8),149,IF(AND(L720="Vermögend und stationär",D727&gt;2,D727&lt;=4),229,IF(AND(L720="Vermögend und stationär",D727&gt;1,D727&lt;=2),257,IF(AND(L720="Vermögend und stationär",D727&gt;0,D727&lt;=1),327,IF(AND(L720="Mittellos und ambulant",D727&gt;8,D727&lt;=1000),171,IF(AND(L720="Mittellos und ambulant",D727&gt;4,D727&lt;=8),198,IF(AND(L720="Mittellos und ambulant",D727&gt;2,D727&lt;=4),246,IF(AND(L720="Mittellos und ambulant",D727&gt;1,D727&lt;=2),277,IF(AND(L720="Mittellos und ambulant",D727&gt;0,D727&lt;=1),339,IF(AND(L720="Mittellos und stationär",D727&gt;8,D727&lt;=1000),102,IF(AND(L720="Mittellos und stationär",D727&gt;4,D727&lt;=8),141,IF(AND(L720="Mittellos und stationär",D727&gt;2,D727&lt;=4),202,IF(AND(L720="Mittellos und stationär",D727&gt;1,D727&lt;=2),208,IF(AND(L720="Mittellos und stationär",D727&gt;0,D727&lt;=1),317,""))))))))))))))))))))),"")))*3+(J719*90)</f>
        <v>#NUM!</v>
      </c>
      <c r="M728" s="507" t="str">
        <f>CONCATENATE(K728, K727)</f>
        <v>+Inflat.-P</v>
      </c>
      <c r="N728" s="216"/>
      <c r="O728" s="188"/>
      <c r="P728" s="188"/>
      <c r="Q728" s="217" t="s">
        <v>118</v>
      </c>
      <c r="R728" s="189"/>
      <c r="S728" s="190"/>
      <c r="T728" s="190"/>
      <c r="U728" s="191"/>
      <c r="V728" s="192"/>
      <c r="W728" s="190"/>
      <c r="X728" s="190"/>
      <c r="Y728" s="191"/>
      <c r="Z728" s="192"/>
      <c r="AA728" s="190"/>
      <c r="AB728" s="190"/>
      <c r="AC728" s="191"/>
      <c r="AD728" s="192"/>
      <c r="AE728" s="190" t="s">
        <v>118</v>
      </c>
      <c r="AF728" s="190" t="s">
        <v>117</v>
      </c>
      <c r="AG728" s="191" t="s">
        <v>26</v>
      </c>
      <c r="AH728" s="193"/>
      <c r="AI728" s="190" t="s">
        <v>118</v>
      </c>
      <c r="AJ728" s="190" t="s">
        <v>117</v>
      </c>
      <c r="AK728" s="374" t="s">
        <v>26</v>
      </c>
      <c r="AL728" s="348" t="s">
        <v>151</v>
      </c>
      <c r="AM728" s="354"/>
      <c r="AN728" s="354"/>
      <c r="AO728" s="354"/>
      <c r="AP728" s="354">
        <f>IF(SUM(Q720:Q728)=SUM(AE720:AE728,AI720:AI728), 0, SUM(Q720:Q728)-SUM(AE720:AE728,AI720:AI728))</f>
        <v>0</v>
      </c>
      <c r="AQ728" s="350">
        <f>AM728+AN728+AO728+AP728</f>
        <v>0</v>
      </c>
      <c r="AR728" s="769"/>
      <c r="AS728" s="769"/>
      <c r="AT728" s="769"/>
      <c r="BM728" s="335"/>
    </row>
    <row r="729" spans="1:65" ht="22" customHeight="1">
      <c r="A729" s="181">
        <f t="shared" si="250"/>
        <v>45292</v>
      </c>
      <c r="B729" s="232" t="s">
        <v>74</v>
      </c>
      <c r="C729" s="233" t="s">
        <v>75</v>
      </c>
      <c r="D729" s="234" t="s">
        <v>76</v>
      </c>
      <c r="E729" s="235" t="s">
        <v>11</v>
      </c>
      <c r="F729" s="235" t="s">
        <v>4</v>
      </c>
      <c r="G729" s="235" t="s">
        <v>5</v>
      </c>
      <c r="H729" s="235" t="s">
        <v>6</v>
      </c>
      <c r="I729" s="236" t="s">
        <v>77</v>
      </c>
      <c r="J729" s="306"/>
      <c r="K729" s="506" t="str">
        <f t="shared" si="251"/>
        <v/>
      </c>
      <c r="L729" s="306" t="str">
        <f>IFERROR(VLOOKUP(B730,'Aktuelle Einnahmen'!A2:J104,10,0),"")</f>
        <v/>
      </c>
      <c r="M729" s="510" t="str">
        <f>M719</f>
        <v>Stufe C</v>
      </c>
      <c r="N729" s="237"/>
      <c r="O729" s="238"/>
      <c r="P729" s="238"/>
      <c r="Q729" s="239"/>
      <c r="R729" s="240"/>
      <c r="S729" s="241"/>
      <c r="T729" s="241"/>
      <c r="U729" s="242"/>
      <c r="V729" s="243"/>
      <c r="W729" s="241"/>
      <c r="X729" s="241"/>
      <c r="Y729" s="242"/>
      <c r="Z729" s="243"/>
      <c r="AA729" s="241"/>
      <c r="AB729" s="241"/>
      <c r="AC729" s="242"/>
      <c r="AD729" s="243"/>
      <c r="AE729" s="241"/>
      <c r="AF729" s="241"/>
      <c r="AG729" s="242"/>
      <c r="AH729" s="240"/>
      <c r="AI729" s="241"/>
      <c r="AJ729" s="241"/>
      <c r="AK729" s="377"/>
      <c r="AL729" s="347"/>
      <c r="AM729" s="353"/>
      <c r="AN729" s="353"/>
      <c r="AO729" s="353"/>
      <c r="AP729" s="353"/>
      <c r="AQ729" s="349"/>
      <c r="AR729" s="768"/>
      <c r="AS729" s="768"/>
      <c r="AT729" s="768"/>
      <c r="BM729" s="335"/>
    </row>
    <row r="730" spans="1:65" ht="23" customHeight="1">
      <c r="A730" s="181">
        <f t="shared" si="250"/>
        <v>45292</v>
      </c>
      <c r="B730" s="182">
        <v>73</v>
      </c>
      <c r="C730" s="245">
        <f>IFERROR(VLOOKUP($B730,'Aktuelle Einnahmen'!A2:G104,3,0),"")</f>
        <v>0</v>
      </c>
      <c r="D730" s="246">
        <f>IFERROR(VLOOKUP($B730,'Aktuelle Einnahmen'!A2:G104,2,0),"")</f>
        <v>0</v>
      </c>
      <c r="E730" s="247">
        <f>IFERROR(VLOOKUP($B730,'Aktuelle Einnahmen'!A2:G104,4,0),"")</f>
        <v>0</v>
      </c>
      <c r="F730" s="94">
        <f>IFERROR(VLOOKUP($B730,'Aktuelle Einnahmen'!A2:G104,5,0),"")</f>
        <v>0</v>
      </c>
      <c r="G730" s="94">
        <f>IFERROR(VLOOKUP($B730,'Aktuelle Einnahmen'!A2:G104,6,0),"")</f>
        <v>0</v>
      </c>
      <c r="H730" s="94">
        <f>IFERROR(VLOOKUP($B730,'Aktuelle Einnahmen'!A2:G104,7,0),"")</f>
        <v>0</v>
      </c>
      <c r="I730" s="186" t="e">
        <f>DATE(H730,G730,F730)</f>
        <v>#NUM!</v>
      </c>
      <c r="J730" s="472">
        <f ca="1">J720</f>
        <v>45475</v>
      </c>
      <c r="K730" s="501" t="str">
        <f t="shared" si="251"/>
        <v>+Inflat.-P</v>
      </c>
      <c r="L730" s="1262" t="str">
        <f>IFERROR(VLOOKUP(B730,'Aktuelle Einnahmen'!A22:I124,9,0),"")</f>
        <v>Auswahl treffen</v>
      </c>
      <c r="M730" s="1263"/>
      <c r="N730" s="261"/>
      <c r="O730" s="261"/>
      <c r="P730" s="261"/>
      <c r="Q730" s="261"/>
      <c r="R730" s="189"/>
      <c r="S730" s="190"/>
      <c r="T730" s="190"/>
      <c r="U730" s="191"/>
      <c r="V730" s="192"/>
      <c r="W730" s="190"/>
      <c r="X730" s="190"/>
      <c r="Y730" s="191"/>
      <c r="Z730" s="192"/>
      <c r="AA730" s="190"/>
      <c r="AB730" s="190"/>
      <c r="AC730" s="191"/>
      <c r="AD730" s="192"/>
      <c r="AE730" s="190"/>
      <c r="AF730" s="190"/>
      <c r="AG730" s="191"/>
      <c r="AH730" s="193"/>
      <c r="AI730" s="190"/>
      <c r="AJ730" s="190"/>
      <c r="AK730" s="374"/>
      <c r="AL730" s="348"/>
      <c r="AM730" s="354"/>
      <c r="AN730" s="354"/>
      <c r="AO730" s="354"/>
      <c r="AP730" s="354"/>
      <c r="AQ730" s="350"/>
      <c r="AR730" s="769"/>
      <c r="AS730" s="769"/>
      <c r="AT730" s="769"/>
      <c r="BM730" s="335"/>
    </row>
    <row r="731" spans="1:65" ht="22.25" customHeight="1">
      <c r="A731" s="181">
        <f t="shared" si="250"/>
        <v>45292</v>
      </c>
      <c r="B731" s="484" t="e">
        <f>DAY(I730)</f>
        <v>#NUM!</v>
      </c>
      <c r="C731" s="489" t="s">
        <v>158</v>
      </c>
      <c r="D731" s="520" t="e">
        <f>(I731*4)+J731/3+1</f>
        <v>#NUM!</v>
      </c>
      <c r="E731" s="194" t="e">
        <f>J733+1</f>
        <v>#NUM!</v>
      </c>
      <c r="F731" s="195" t="e">
        <f t="shared" ref="F731:F738" si="255">DAY(E731)</f>
        <v>#NUM!</v>
      </c>
      <c r="G731" s="196" t="e">
        <f t="shared" ref="G731:G738" si="256">MONTH(E731)</f>
        <v>#NUM!</v>
      </c>
      <c r="H731" s="195" t="e">
        <f t="shared" ref="H731:H738" si="257">YEAR(E731)</f>
        <v>#NUM!</v>
      </c>
      <c r="I731" s="197" t="e">
        <f>H731-(H730+2000)</f>
        <v>#NUM!</v>
      </c>
      <c r="J731" s="198" t="e">
        <f>G731-G730</f>
        <v>#NUM!</v>
      </c>
      <c r="K731" s="506" t="str">
        <f>L729</f>
        <v/>
      </c>
      <c r="L731" s="469"/>
      <c r="M731" s="473" t="e">
        <f ca="1">SUM(J730-E732)&amp;" Tage"</f>
        <v>#NUM!</v>
      </c>
      <c r="N731" s="206"/>
      <c r="O731" s="201"/>
      <c r="P731" s="201"/>
      <c r="Q731" s="202"/>
      <c r="R731" s="189"/>
      <c r="S731" s="203"/>
      <c r="T731" s="203"/>
      <c r="U731" s="204"/>
      <c r="V731" s="192"/>
      <c r="W731" s="203"/>
      <c r="X731" s="203"/>
      <c r="Y731" s="204"/>
      <c r="Z731" s="192"/>
      <c r="AA731" s="203"/>
      <c r="AB731" s="203"/>
      <c r="AC731" s="204"/>
      <c r="AD731" s="192"/>
      <c r="AE731" s="203"/>
      <c r="AF731" s="203"/>
      <c r="AG731" s="204"/>
      <c r="AH731" s="193"/>
      <c r="AI731" s="203"/>
      <c r="AJ731" s="203"/>
      <c r="AK731" s="375"/>
      <c r="AL731" s="348"/>
      <c r="AM731" s="354"/>
      <c r="AN731" s="354"/>
      <c r="AO731" s="354"/>
      <c r="AP731" s="354"/>
      <c r="AQ731" s="350"/>
      <c r="AR731" s="769"/>
      <c r="AS731" s="769"/>
      <c r="AT731" s="769"/>
      <c r="BM731" s="335"/>
    </row>
    <row r="732" spans="1:65" ht="22.25" customHeight="1">
      <c r="A732" s="181">
        <f t="shared" si="250"/>
        <v>45292</v>
      </c>
      <c r="B732" s="485"/>
      <c r="C732" s="490"/>
      <c r="D732" s="521"/>
      <c r="E732" s="194" t="e">
        <f>DATE(YEAR(E731),MONTH(E731)+3,DAY(E731)-1)</f>
        <v>#NUM!</v>
      </c>
      <c r="F732" s="195" t="e">
        <f t="shared" si="255"/>
        <v>#NUM!</v>
      </c>
      <c r="G732" s="196" t="e">
        <f t="shared" si="256"/>
        <v>#NUM!</v>
      </c>
      <c r="H732" s="195" t="e">
        <f t="shared" si="257"/>
        <v>#NUM!</v>
      </c>
      <c r="I732" s="244">
        <v>-1</v>
      </c>
      <c r="J732" s="198" t="e">
        <f>F731-F730</f>
        <v>#NUM!</v>
      </c>
      <c r="K732" s="501" t="str">
        <f t="shared" si="251"/>
        <v>+Inflat.-P</v>
      </c>
      <c r="L732" s="511" t="e">
        <f>IF(M729="Stufe A",IF(AND(L730="Auswahl treffen",D731&gt;=0,D731&lt;=1000),J729,IF(AND(L730="Vermögend und ambulant",D731&gt;8,D731&lt;=1000),130,IF(AND(L730="Vermögend und ambulant",D731&gt;4,D731&lt;=8),158,IF(AND(L730="Vermögend und ambulant",D731&gt;2,D731&lt;=4),192,IF(AND(L730="Vermögend und ambulant",D731&gt;1,D731&lt;=2),208,IF(AND(L730="Vermögend und ambulant",D731&gt;0,D731&lt;=1),298,IF(AND(L730="Vermögend und stationär",D731&gt;8,D731&lt;=1000),78,IF(AND(L730="Vermögend und stationär",D731&gt;4,D731&lt;=8),91,IF(AND(L730="Vermögend und stationär",D731&gt;2,D731&lt;=4),140,IF(AND(L730="Vermögend und stationär",D731&gt;1,D731&lt;=2),158,IF(AND(L730="Vermögend und stationär",D731&gt;0,D731&lt;=1),200,IF(AND(L730="Mittellos und ambulant",D731&gt;8,D731&lt;=1000),105,IF(AND(L730="Mittellos und ambulant",D731&gt;4,D731&lt;=8),122,IF(AND(L730="Mittellos und ambulant",D731&gt;2,D731&lt;=4),151,IF(AND(L730="Mittellos und ambulant",D731&gt;1,D731&lt;=2),170,IF(AND(L730="Mittellos und ambulant",D731&gt;0,D731&lt;=1),208,IF(AND(L730="Mittellos und stationär",D731&gt;8,D731&lt;=1000),62,IF(AND(L730="Mittellos und stationär",D731&gt;4,D731&lt;=8),87,IF(AND(L730="Mittellos und stationär",D731&gt;2,D731&lt;=4),124,IF(AND(L730="Mittellos und stationär",D731&gt;1,D731&lt;=2),129,IF(AND(L730="Mittellos und stationär",D731&gt;0,D731&lt;=1),194,""))))))))))))))))))))),IF(M729="Stufe B",IF(AND(L730="Auswahl treffen",D731&gt;=0,D731&lt;=1000),J729,IF(AND(L730="Vermögend und ambulant",D731&gt;8,D731&lt;=1000),161,IF(AND(L730="Vermögend und ambulant",D731&gt;4,D731&lt;=8),196,IF(AND(L730="Vermögend und ambulant",D731&gt;2,D731&lt;=4),238,IF(AND(L730="Vermögend und ambulant",D731&gt;1,D731&lt;=2),258,IF(AND(L730="Vermögend und ambulant",D731&gt;0,D731&lt;=1),370,IF(AND(L730="Vermögend und stationär",D731&gt;8,D731&lt;=1000),96,IF(AND(L730="Vermögend und stationär",D731&gt;4,D731&lt;=8),113,IF(AND(L730="Vermögend und stationär",D731&gt;2,D731&lt;=4),174,IF(AND(L730="Vermögend und stationär",D731&gt;1,D731&lt;=2),196,IF(AND(L730="Vermögend und stationär",D731&gt;0,D731&lt;=1),249,IF(AND(L730="Mittellos und ambulant",D731&gt;8,D731&lt;=1000),130,IF(AND(L730="Mittellos und ambulant",D731&gt;4,D731&lt;=8),151,IF(AND(L730="Mittellos und ambulant",D731&gt;2,D731&lt;=4),188,IF(AND(L730="Mittellos und ambulant",D731&gt;1,D731&lt;=2),211,IF(AND(L730="Mittellos und ambulant",D731&gt;0,D731&lt;=1),258,IF(AND(L730="Mittellos und stationär",D731&gt;8,D731&lt;=1000),78,IF(AND(L730="Mittellos und stationär",D731&gt;4,D731&lt;=8),107,IF(AND(L730="Mittellos und stationär",D731&gt;2,D731&lt;=4),154,IF(AND(L730="Mittellos und stationär",D731&gt;1,D731&lt;=2),158,IF(AND(L730="Mittellos und stationär",D731&gt;0,D731&lt;=1),241,""))))))))))))))))))))),IF(M729="Stufe C",IF(AND(L730="Auswahl treffen",D731&gt;=0,D731&lt;=1000),J729,IF(AND(L730="Vermögend und ambulant",D731&gt;8,D731&lt;=1000),211,IF(AND(L730="Vermögend und ambulant",D731&gt;4,D731&lt;=8),257,IF(AND(L730="Vermögend und ambulant",D731&gt;2,D731&lt;=4),312,IF(AND(L730="Vermögend und ambulant",D731&gt;1,D731&lt;=2),339,IF(AND(L730="Vermögend und ambulant",D731&gt;0,D731&lt;=1),486,IF(AND(L730="Vermögend und stationär",D731&gt;8,D731&lt;=1000),127,IF(AND(L730="Vermögend und stationär",D731&gt;4,D731&lt;=8),149,IF(AND(L730="Vermögend und stationär",D731&gt;2,D731&lt;=4),229,IF(AND(L730="Vermögend und stationär",D731&gt;1,D731&lt;=2),257,IF(AND(L730="Vermögend und stationär",D731&gt;0,D731&lt;=1),327,IF(AND(L730="Mittellos und ambulant",D731&gt;8,D731&lt;=1000),171,IF(AND(L730="Mittellos und ambulant",D731&gt;4,D731&lt;=8),198,IF(AND(L730="Mittellos und ambulant",D731&gt;2,D731&lt;=4),246,IF(AND(L730="Mittellos und ambulant",D731&gt;1,D731&lt;=2),277,IF(AND(L730="Mittellos und ambulant",D731&gt;0,D731&lt;=1),339,IF(AND(L730="Mittellos und stationär",D731&gt;8,D731&lt;=1000),102,IF(AND(L730="Mittellos und stationär",D731&gt;4,D731&lt;=8),141,IF(AND(L730="Mittellos und stationär",D731&gt;2,D731&lt;=4),202,IF(AND(L730="Mittellos und stationär",D731&gt;1,D731&lt;=2),208,IF(AND(L730="Mittellos und stationär",D731&gt;0,D731&lt;=1),317,""))))))))))))))))))))),"")))*3+(J729*90)</f>
        <v>#NUM!</v>
      </c>
      <c r="M732" s="507" t="str">
        <f>CONCATENATE(K732, K731)</f>
        <v>+Inflat.-P</v>
      </c>
      <c r="N732" s="206" t="s">
        <v>118</v>
      </c>
      <c r="O732" s="207"/>
      <c r="P732" s="207"/>
      <c r="Q732" s="208"/>
      <c r="R732" s="187"/>
      <c r="S732" s="209" t="s">
        <v>118</v>
      </c>
      <c r="T732" s="201" t="s">
        <v>117</v>
      </c>
      <c r="U732" s="210" t="s">
        <v>26</v>
      </c>
      <c r="V732" s="192"/>
      <c r="W732" s="203"/>
      <c r="X732" s="203"/>
      <c r="Y732" s="210"/>
      <c r="Z732" s="192"/>
      <c r="AA732" s="203"/>
      <c r="AB732" s="203"/>
      <c r="AC732" s="210"/>
      <c r="AD732" s="192"/>
      <c r="AE732" s="203"/>
      <c r="AF732" s="203"/>
      <c r="AG732" s="210"/>
      <c r="AH732" s="193"/>
      <c r="AI732" s="203"/>
      <c r="AJ732" s="203"/>
      <c r="AK732" s="376"/>
      <c r="AL732" s="348" t="s">
        <v>148</v>
      </c>
      <c r="AM732" s="354">
        <f>IF(SUM(N730:N738)=SUM(S730:S738), 0, SUM(N730:N738)-SUM(S730:S738))</f>
        <v>0</v>
      </c>
      <c r="AN732" s="354"/>
      <c r="AO732" s="354"/>
      <c r="AP732" s="354"/>
      <c r="AQ732" s="350">
        <f>AM732+AN732+AO732+AP732</f>
        <v>0</v>
      </c>
      <c r="AR732" s="769"/>
      <c r="AS732" s="769"/>
      <c r="AT732" s="769"/>
      <c r="BM732" s="335"/>
    </row>
    <row r="733" spans="1:65" ht="22.25" customHeight="1">
      <c r="A733" s="181">
        <f t="shared" si="250"/>
        <v>45292</v>
      </c>
      <c r="B733" s="484" t="e">
        <f>MONTH(I730)</f>
        <v>#NUM!</v>
      </c>
      <c r="C733" s="489" t="s">
        <v>158</v>
      </c>
      <c r="D733" s="522" t="e">
        <f>D731+1</f>
        <v>#NUM!</v>
      </c>
      <c r="E733" s="211" t="e">
        <f>DATE(YEAR(E732),MONTH(E732),DAY(E732)+1)</f>
        <v>#NUM!</v>
      </c>
      <c r="F733" s="212" t="e">
        <f t="shared" si="255"/>
        <v>#NUM!</v>
      </c>
      <c r="G733" s="213" t="e">
        <f t="shared" si="256"/>
        <v>#NUM!</v>
      </c>
      <c r="H733" s="212" t="e">
        <f t="shared" si="257"/>
        <v>#NUM!</v>
      </c>
      <c r="I733" s="214" t="str">
        <f>IF(D730&lt;&gt;0,"-1T","")</f>
        <v/>
      </c>
      <c r="J733" s="215" t="e">
        <f>DATE($B735,I734,$B731)</f>
        <v>#NUM!</v>
      </c>
      <c r="K733" s="501" t="str">
        <f t="shared" si="251"/>
        <v/>
      </c>
      <c r="L733" s="470"/>
      <c r="M733" s="473" t="e">
        <f ca="1">SUM(J730-E734)&amp;" Tage"</f>
        <v>#NUM!</v>
      </c>
      <c r="N733" s="216"/>
      <c r="O733" s="217"/>
      <c r="P733" s="188"/>
      <c r="Q733" s="217"/>
      <c r="R733" s="189"/>
      <c r="S733" s="190"/>
      <c r="T733" s="190"/>
      <c r="U733" s="191"/>
      <c r="V733" s="192"/>
      <c r="W733" s="190"/>
      <c r="X733" s="190"/>
      <c r="Y733" s="191"/>
      <c r="Z733" s="192"/>
      <c r="AA733" s="190"/>
      <c r="AB733" s="190"/>
      <c r="AC733" s="191"/>
      <c r="AD733" s="192"/>
      <c r="AE733" s="190"/>
      <c r="AF733" s="190"/>
      <c r="AG733" s="191"/>
      <c r="AH733" s="193"/>
      <c r="AI733" s="190"/>
      <c r="AJ733" s="190"/>
      <c r="AK733" s="374"/>
      <c r="AL733" s="348"/>
      <c r="AM733" s="354"/>
      <c r="AN733" s="354"/>
      <c r="AO733" s="354"/>
      <c r="AP733" s="354"/>
      <c r="AQ733" s="350"/>
      <c r="AR733" s="769"/>
      <c r="AS733" s="769"/>
      <c r="AT733" s="769"/>
      <c r="BM733" s="335"/>
    </row>
    <row r="734" spans="1:65" ht="22.25" customHeight="1">
      <c r="A734" s="181">
        <f t="shared" si="250"/>
        <v>45292</v>
      </c>
      <c r="B734" s="485"/>
      <c r="C734" s="490"/>
      <c r="D734" s="521"/>
      <c r="E734" s="218" t="e">
        <f>DATE(YEAR(E733),MONTH(E733)+3,DAY(E733)-1)</f>
        <v>#NUM!</v>
      </c>
      <c r="F734" s="212" t="e">
        <f t="shared" si="255"/>
        <v>#NUM!</v>
      </c>
      <c r="G734" s="213" t="e">
        <f t="shared" si="256"/>
        <v>#NUM!</v>
      </c>
      <c r="H734" s="212" t="e">
        <f t="shared" si="257"/>
        <v>#NUM!</v>
      </c>
      <c r="I734" s="219">
        <f>MAX(I735:I738)</f>
        <v>9</v>
      </c>
      <c r="J734" s="220" t="e">
        <f>DATE(YEAR(J733)+1,MONTH(J733),DAY(J733))</f>
        <v>#NUM!</v>
      </c>
      <c r="K734" s="506" t="str">
        <f t="shared" si="251"/>
        <v>+Inflat.-P</v>
      </c>
      <c r="L734" s="508" t="e">
        <f>IF(M729="Stufe A",IF(AND(L730="Auswahl treffen",D733&gt;=0,D733&lt;=1000),J729,IF(AND(L730="Vermögend und ambulant",D733&gt;8,D733&lt;=1000),130,IF(AND(L730="Vermögend und ambulant",D733&gt;4,D733&lt;=8),158,IF(AND(L730="Vermögend und ambulant",D733&gt;2,D733&lt;=4),192,IF(AND(L730="Vermögend und ambulant",D733&gt;1,D733&lt;=2),208,IF(AND(L730="Vermögend und ambulant",D733&gt;0,D733&lt;=1),298,IF(AND(L730="Vermögend und stationär",D733&gt;8,D733&lt;=1000),78,IF(AND(L730="Vermögend und stationär",D733&gt;4,D733&lt;=8),91,IF(AND(L730="Vermögend und stationär",D733&gt;2,D733&lt;=4),140,IF(AND(L730="Vermögend und stationär",D733&gt;1,D733&lt;=2),158,IF(AND(L730="Vermögend und stationär",D733&gt;0,D733&lt;=1),200,IF(AND(L730="Mittellos und ambulant",D733&gt;8,D733&lt;=1000),105,IF(AND(L730="Mittellos und ambulant",D733&gt;4,D733&lt;=8),122,IF(AND(L730="Mittellos und ambulant",D733&gt;2,D733&lt;=4),151,IF(AND(L730="Mittellos und ambulant",D733&gt;1,D733&lt;=2),170,IF(AND(L730="Mittellos und ambulant",D733&gt;0,D733&lt;=1),208,IF(AND(L730="Mittellos und stationär",D733&gt;8,D733&lt;=1000),62,IF(AND(L730="Mittellos und stationär",D733&gt;4,D733&lt;=8),87,IF(AND(L730="Mittellos und stationär",D733&gt;2,D733&lt;=4),124,IF(AND(L730="Mittellos und stationär",D733&gt;1,D733&lt;=2),129,IF(AND(L730="Mittellos und stationär",D733&gt;0,D733&lt;=1),194,""))))))))))))))))))))),IF(M729="Stufe B",IF(AND(L730="Auswahl treffen",D733&gt;=0,D733&lt;=1000),J729,IF(AND(L730="Vermögend und ambulant",D733&gt;8,D733&lt;=1000),161,IF(AND(L730="Vermögend und ambulant",D733&gt;4,D733&lt;=8),196,IF(AND(L730="Vermögend und ambulant",D733&gt;2,D733&lt;=4),238,IF(AND(L730="Vermögend und ambulant",D733&gt;1,D733&lt;=2),258,IF(AND(L730="Vermögend und ambulant",D733&gt;0,D733&lt;=1),370,IF(AND(L730="Vermögend und stationär",D733&gt;8,D733&lt;=1000),96,IF(AND(L730="Vermögend und stationär",D733&gt;4,D733&lt;=8),113,IF(AND(L730="Vermögend und stationär",D733&gt;2,D733&lt;=4),174,IF(AND(L730="Vermögend und stationär",D733&gt;1,D733&lt;=2),196,IF(AND(L730="Vermögend und stationär",D733&gt;0,D733&lt;=1),249,IF(AND(L730="Mittellos und ambulant",D733&gt;8,D733&lt;=1000),130,IF(AND(L730="Mittellos und ambulant",D733&gt;4,D733&lt;=8),151,IF(AND(L730="Mittellos und ambulant",D733&gt;2,D733&lt;=4),188,IF(AND(L730="Mittellos und ambulant",D733&gt;1,D733&lt;=2),211,IF(AND(L730="Mittellos und ambulant",D733&gt;0,D733&lt;=1),258,IF(AND(L730="Mittellos und stationär",D733&gt;8,D733&lt;=1000),78,IF(AND(L730="Mittellos und stationär",D733&gt;4,D733&lt;=8),107,IF(AND(L730="Mittellos und stationär",D733&gt;2,D733&lt;=4),154,IF(AND(L730="Mittellos und stationär",D733&gt;1,D733&lt;=2),158,IF(AND(L730="Mittellos und stationär",D733&gt;0,D733&lt;=1),241,""))))))))))))))))))))),IF(M729="Stufe C",IF(AND(L730="Auswahl treffen",D733&gt;=0,D733&lt;=1000),J729,IF(AND(L730="Vermögend und ambulant",D733&gt;8,D733&lt;=1000),211,IF(AND(L730="Vermögend und ambulant",D733&gt;4,D733&lt;=8),257,IF(AND(L730="Vermögend und ambulant",D733&gt;2,D733&lt;=4),312,IF(AND(L730="Vermögend und ambulant",D733&gt;1,D733&lt;=2),339,IF(AND(L730="Vermögend und ambulant",D733&gt;0,D733&lt;=1),486,IF(AND(L730="Vermögend und stationär",D733&gt;8,D733&lt;=1000),127,IF(AND(L730="Vermögend und stationär",D733&gt;4,D733&lt;=8),149,IF(AND(L730="Vermögend und stationär",D733&gt;2,D733&lt;=4),229,IF(AND(L730="Vermögend und stationär",D733&gt;1,D733&lt;=2),257,IF(AND(L730="Vermögend und stationär",D733&gt;0,D733&lt;=1),327,IF(AND(L730="Mittellos und ambulant",D733&gt;8,D733&lt;=1000),171,IF(AND(L730="Mittellos und ambulant",D733&gt;4,D733&lt;=8),198,IF(AND(L730="Mittellos und ambulant",D733&gt;2,D733&lt;=4),246,IF(AND(L730="Mittellos und ambulant",D733&gt;1,D733&lt;=2),277,IF(AND(L730="Mittellos und ambulant",D733&gt;0,D733&lt;=1),339,IF(AND(L730="Mittellos und stationär",D733&gt;8,D733&lt;=1000),102,IF(AND(L730="Mittellos und stationär",D733&gt;4,D733&lt;=8),141,IF(AND(L730="Mittellos und stationär",D733&gt;2,D733&lt;=4),202,IF(AND(L730="Mittellos und stationär",D733&gt;1,D733&lt;=2),208,IF(AND(L730="Mittellos und stationär",D733&gt;0,D733&lt;=1),317,""))))))))))))))))))))),"")))*3+(J729*90)</f>
        <v>#NUM!</v>
      </c>
      <c r="M734" s="507" t="str">
        <f>CONCATENATE(K734, K733)</f>
        <v>+Inflat.-P</v>
      </c>
      <c r="N734" s="216"/>
      <c r="O734" s="188" t="s">
        <v>118</v>
      </c>
      <c r="P734" s="188"/>
      <c r="Q734" s="221"/>
      <c r="R734" s="199"/>
      <c r="S734" s="190"/>
      <c r="T734" s="190"/>
      <c r="U734" s="191"/>
      <c r="V734" s="192"/>
      <c r="W734" s="222" t="s">
        <v>118</v>
      </c>
      <c r="X734" s="222" t="s">
        <v>117</v>
      </c>
      <c r="Y734" s="191" t="s">
        <v>26</v>
      </c>
      <c r="Z734" s="192"/>
      <c r="AA734" s="190"/>
      <c r="AB734" s="190"/>
      <c r="AC734" s="191"/>
      <c r="AD734" s="192"/>
      <c r="AE734" s="190"/>
      <c r="AF734" s="190"/>
      <c r="AG734" s="191"/>
      <c r="AH734" s="193"/>
      <c r="AI734" s="190"/>
      <c r="AJ734" s="190"/>
      <c r="AK734" s="374"/>
      <c r="AL734" s="348" t="s">
        <v>149</v>
      </c>
      <c r="AM734" s="354"/>
      <c r="AN734" s="354">
        <f>IF(SUM(O730:O738)=SUM(W730:W738), 0, SUM(O730:O738)-SUM(W730:W738))</f>
        <v>0</v>
      </c>
      <c r="AO734" s="354"/>
      <c r="AP734" s="354"/>
      <c r="AQ734" s="350">
        <f>AM734+AN734+AO734+AP734</f>
        <v>0</v>
      </c>
      <c r="AR734" s="769"/>
      <c r="AS734" s="769"/>
      <c r="AT734" s="769"/>
      <c r="BM734" s="335"/>
    </row>
    <row r="735" spans="1:65" ht="22.25" customHeight="1">
      <c r="A735" s="181">
        <f t="shared" si="250"/>
        <v>45292</v>
      </c>
      <c r="B735" s="484">
        <f>YEAR($A736)-1</f>
        <v>2023</v>
      </c>
      <c r="C735" s="489" t="s">
        <v>158</v>
      </c>
      <c r="D735" s="520" t="e">
        <f>D733+1</f>
        <v>#NUM!</v>
      </c>
      <c r="E735" s="194" t="e">
        <f>DATE(YEAR(E734),MONTH(E734),DAY(E734)+1)</f>
        <v>#NUM!</v>
      </c>
      <c r="F735" s="195" t="e">
        <f t="shared" si="255"/>
        <v>#NUM!</v>
      </c>
      <c r="G735" s="196" t="e">
        <f t="shared" si="256"/>
        <v>#NUM!</v>
      </c>
      <c r="H735" s="195" t="e">
        <f t="shared" si="257"/>
        <v>#NUM!</v>
      </c>
      <c r="I735" s="197">
        <f>IF(J737&lt;13,J737,"")</f>
        <v>9</v>
      </c>
      <c r="J735" s="224">
        <f>G730</f>
        <v>0</v>
      </c>
      <c r="K735" s="501" t="str">
        <f t="shared" si="251"/>
        <v/>
      </c>
      <c r="L735" s="471"/>
      <c r="M735" s="473" t="e">
        <f ca="1">SUM(J730-E736)&amp;" Tage"</f>
        <v>#NUM!</v>
      </c>
      <c r="N735" s="200"/>
      <c r="O735" s="201"/>
      <c r="P735" s="201"/>
      <c r="Q735" s="202"/>
      <c r="R735" s="189"/>
      <c r="S735" s="203"/>
      <c r="T735" s="203"/>
      <c r="U735" s="204"/>
      <c r="V735" s="192"/>
      <c r="W735" s="203"/>
      <c r="X735" s="203"/>
      <c r="Y735" s="204"/>
      <c r="Z735" s="192"/>
      <c r="AA735" s="203"/>
      <c r="AB735" s="203"/>
      <c r="AC735" s="204"/>
      <c r="AD735" s="192"/>
      <c r="AE735" s="203"/>
      <c r="AF735" s="203"/>
      <c r="AG735" s="204"/>
      <c r="AH735" s="193"/>
      <c r="AI735" s="203"/>
      <c r="AJ735" s="203"/>
      <c r="AK735" s="375"/>
      <c r="AL735" s="348"/>
      <c r="AM735" s="354"/>
      <c r="AN735" s="354"/>
      <c r="AO735" s="354"/>
      <c r="AP735" s="354"/>
      <c r="AQ735" s="350"/>
      <c r="AR735" s="769"/>
      <c r="AS735" s="769"/>
      <c r="AT735" s="769"/>
      <c r="BM735" s="335"/>
    </row>
    <row r="736" spans="1:65" ht="22.25" customHeight="1">
      <c r="A736" s="181">
        <f t="shared" si="250"/>
        <v>45292</v>
      </c>
      <c r="B736" s="485"/>
      <c r="C736" s="490"/>
      <c r="D736" s="521"/>
      <c r="E736" s="194" t="e">
        <f>DATE(YEAR(E735),MONTH(E735)+3,DAY(E735)-1)</f>
        <v>#NUM!</v>
      </c>
      <c r="F736" s="195" t="e">
        <f t="shared" si="255"/>
        <v>#NUM!</v>
      </c>
      <c r="G736" s="196" t="e">
        <f t="shared" si="256"/>
        <v>#NUM!</v>
      </c>
      <c r="H736" s="195" t="e">
        <f t="shared" si="257"/>
        <v>#NUM!</v>
      </c>
      <c r="I736" s="244">
        <f>IF(J738&lt;13,J738,"")</f>
        <v>6</v>
      </c>
      <c r="J736" s="224">
        <f>J735+3</f>
        <v>3</v>
      </c>
      <c r="K736" s="506" t="str">
        <f t="shared" si="251"/>
        <v>+Inflat.-P</v>
      </c>
      <c r="L736" s="511" t="e">
        <f>IF(M729="Stufe A",IF(AND(L730="Auswahl treffen",D735&gt;=0,D735&lt;=1000),J729,IF(AND(L730="Vermögend und ambulant",D735&gt;8,D735&lt;=1000),130,IF(AND(L730="Vermögend und ambulant",D735&gt;4,D735&lt;=8),158,IF(AND(L730="Vermögend und ambulant",D735&gt;2,D735&lt;=4),192,IF(AND(L730="Vermögend und ambulant",D735&gt;1,D735&lt;=2),208,IF(AND(L730="Vermögend und ambulant",D735&gt;0,D735&lt;=1),298,IF(AND(L730="Vermögend und stationär",D735&gt;8,D735&lt;=1000),78,IF(AND(L730="Vermögend und stationär",D735&gt;4,D735&lt;=8),91,IF(AND(L730="Vermögend und stationär",D735&gt;2,D735&lt;=4),140,IF(AND(L730="Vermögend und stationär",D735&gt;1,D735&lt;=2),158,IF(AND(L730="Vermögend und stationär",D735&gt;0,D735&lt;=1),200,IF(AND(L730="Mittellos und ambulant",D735&gt;8,D735&lt;=1000),105,IF(AND(L730="Mittellos und ambulant",D735&gt;4,D735&lt;=8),122,IF(AND(L730="Mittellos und ambulant",D735&gt;2,D735&lt;=4),151,IF(AND(L730="Mittellos und ambulant",D735&gt;1,D735&lt;=2),170,IF(AND(L730="Mittellos und ambulant",D735&gt;0,D735&lt;=1),208,IF(AND(L730="Mittellos und stationär",D735&gt;8,D735&lt;=1000),62,IF(AND(L730="Mittellos und stationär",D735&gt;4,D735&lt;=8),87,IF(AND(L730="Mittellos und stationär",D735&gt;2,D735&lt;=4),124,IF(AND(L730="Mittellos und stationär",D735&gt;1,D735&lt;=2),129,IF(AND(L730="Mittellos und stationär",D735&gt;0,D735&lt;=1),194,""))))))))))))))))))))),IF(M729="Stufe B",IF(AND(L730="Auswahl treffen",D735&gt;=0,D735&lt;=1000),J729,IF(AND(L730="Vermögend und ambulant",D735&gt;8,D735&lt;=1000),161,IF(AND(L730="Vermögend und ambulant",D735&gt;4,D735&lt;=8),196,IF(AND(L730="Vermögend und ambulant",D735&gt;2,D735&lt;=4),238,IF(AND(L730="Vermögend und ambulant",D735&gt;1,D735&lt;=2),258,IF(AND(L730="Vermögend und ambulant",D735&gt;0,D735&lt;=1),370,IF(AND(L730="Vermögend und stationär",D735&gt;8,D735&lt;=1000),96,IF(AND(L730="Vermögend und stationär",D735&gt;4,D735&lt;=8),113,IF(AND(L730="Vermögend und stationär",D735&gt;2,D735&lt;=4),174,IF(AND(L730="Vermögend und stationär",D735&gt;1,D735&lt;=2),196,IF(AND(L730="Vermögend und stationär",D735&gt;0,D735&lt;=1),249,IF(AND(L730="Mittellos und ambulant",D735&gt;8,D735&lt;=1000),130,IF(AND(L730="Mittellos und ambulant",D735&gt;4,D735&lt;=8),151,IF(AND(L730="Mittellos und ambulant",D735&gt;2,D735&lt;=4),188,IF(AND(L730="Mittellos und ambulant",D735&gt;1,D735&lt;=2),211,IF(AND(L730="Mittellos und ambulant",D735&gt;0,D735&lt;=1),258,IF(AND(L730="Mittellos und stationär",D735&gt;8,D735&lt;=1000),78,IF(AND(L730="Mittellos und stationär",D735&gt;4,D735&lt;=8),107,IF(AND(L730="Mittellos und stationär",D735&gt;2,D735&lt;=4),154,IF(AND(L730="Mittellos und stationär",D735&gt;1,D735&lt;=2),158,IF(AND(L730="Mittellos und stationär",D735&gt;0,D735&lt;=1),241,""))))))))))))))))))))),IF(M729="Stufe C",IF(AND(L730="Auswahl treffen",D735&gt;=0,D735&lt;=1000),J729,IF(AND(L730="Vermögend und ambulant",D735&gt;8,D735&lt;=1000),211,IF(AND(L730="Vermögend und ambulant",D735&gt;4,D735&lt;=8),257,IF(AND(L730="Vermögend und ambulant",D735&gt;2,D735&lt;=4),312,IF(AND(L730="Vermögend und ambulant",D735&gt;1,D735&lt;=2),339,IF(AND(L730="Vermögend und ambulant",D735&gt;0,D735&lt;=1),486,IF(AND(L730="Vermögend und stationär",D735&gt;8,D735&lt;=1000),127,IF(AND(L730="Vermögend und stationär",D735&gt;4,D735&lt;=8),149,IF(AND(L730="Vermögend und stationär",D735&gt;2,D735&lt;=4),229,IF(AND(L730="Vermögend und stationär",D735&gt;1,D735&lt;=2),257,IF(AND(L730="Vermögend und stationär",D735&gt;0,D735&lt;=1),327,IF(AND(L730="Mittellos und ambulant",D735&gt;8,D735&lt;=1000),171,IF(AND(L730="Mittellos und ambulant",D735&gt;4,D735&lt;=8),198,IF(AND(L730="Mittellos und ambulant",D735&gt;2,D735&lt;=4),246,IF(AND(L730="Mittellos und ambulant",D735&gt;1,D735&lt;=2),277,IF(AND(L730="Mittellos und ambulant",D735&gt;0,D735&lt;=1),339,IF(AND(L730="Mittellos und stationär",D735&gt;8,D735&lt;=1000),102,IF(AND(L730="Mittellos und stationär",D735&gt;4,D735&lt;=8),141,IF(AND(L730="Mittellos und stationär",D735&gt;2,D735&lt;=4),202,IF(AND(L730="Mittellos und stationär",D735&gt;1,D735&lt;=2),208,IF(AND(L730="Mittellos und stationär",D735&gt;0,D735&lt;=1),317,""))))))))))))))))))))),"")))*3+(J729*90)</f>
        <v>#NUM!</v>
      </c>
      <c r="M736" s="507" t="str">
        <f>CONCATENATE(K736, K735)</f>
        <v>+Inflat.-P</v>
      </c>
      <c r="N736" s="206"/>
      <c r="O736" s="207"/>
      <c r="P736" s="206" t="s">
        <v>118</v>
      </c>
      <c r="Q736" s="226"/>
      <c r="R736" s="189"/>
      <c r="S736" s="203"/>
      <c r="T736" s="203"/>
      <c r="U736" s="204"/>
      <c r="V736" s="192"/>
      <c r="W736" s="203"/>
      <c r="X736" s="203"/>
      <c r="Y736" s="204"/>
      <c r="Z736" s="192"/>
      <c r="AA736" s="209" t="s">
        <v>118</v>
      </c>
      <c r="AB736" s="209" t="s">
        <v>117</v>
      </c>
      <c r="AC736" s="204" t="s">
        <v>26</v>
      </c>
      <c r="AD736" s="192"/>
      <c r="AE736" s="203"/>
      <c r="AF736" s="203"/>
      <c r="AG736" s="204"/>
      <c r="AH736" s="193"/>
      <c r="AI736" s="203"/>
      <c r="AJ736" s="203"/>
      <c r="AK736" s="375"/>
      <c r="AL736" s="348" t="s">
        <v>150</v>
      </c>
      <c r="AM736" s="354"/>
      <c r="AN736" s="354"/>
      <c r="AO736" s="354">
        <f>IF(SUM(P730:P738)=SUM(AA730:AA738), 0, SUM(P730:P738)-SUM(AA730:AA738))</f>
        <v>0</v>
      </c>
      <c r="AP736" s="354"/>
      <c r="AQ736" s="350">
        <f>AM736+AN736+AO736+AP736</f>
        <v>0</v>
      </c>
      <c r="AR736" s="769"/>
      <c r="AS736" s="769"/>
      <c r="AT736" s="769"/>
      <c r="BM736" s="335"/>
    </row>
    <row r="737" spans="1:65" ht="22.25" customHeight="1">
      <c r="A737" s="181">
        <f t="shared" si="250"/>
        <v>45292</v>
      </c>
      <c r="B737" s="486"/>
      <c r="C737" s="489" t="s">
        <v>158</v>
      </c>
      <c r="D737" s="522" t="e">
        <f>D735+1</f>
        <v>#NUM!</v>
      </c>
      <c r="E737" s="211" t="e">
        <f>DATE(YEAR(E736),MONTH(E736),DAY(E736)+1)</f>
        <v>#NUM!</v>
      </c>
      <c r="F737" s="227" t="e">
        <f t="shared" si="255"/>
        <v>#NUM!</v>
      </c>
      <c r="G737" s="228" t="e">
        <f t="shared" si="256"/>
        <v>#NUM!</v>
      </c>
      <c r="H737" s="227" t="e">
        <f t="shared" si="257"/>
        <v>#NUM!</v>
      </c>
      <c r="I737" s="231">
        <f>IF(J736&lt;13,J736,"")</f>
        <v>3</v>
      </c>
      <c r="J737" s="230">
        <f>J738+3</f>
        <v>9</v>
      </c>
      <c r="K737" s="501" t="str">
        <f t="shared" si="251"/>
        <v/>
      </c>
      <c r="L737" s="471"/>
      <c r="M737" s="473" t="e">
        <f ca="1">SUM(J730-E738)&amp;" Tage"</f>
        <v>#NUM!</v>
      </c>
      <c r="N737" s="216"/>
      <c r="O737" s="188"/>
      <c r="P737" s="188"/>
      <c r="Q737" s="217"/>
      <c r="R737" s="189"/>
      <c r="S737" s="190"/>
      <c r="T737" s="190"/>
      <c r="U737" s="191"/>
      <c r="V737" s="192"/>
      <c r="W737" s="190"/>
      <c r="X737" s="190"/>
      <c r="Y737" s="191"/>
      <c r="Z737" s="192"/>
      <c r="AA737" s="190"/>
      <c r="AB737" s="190"/>
      <c r="AC737" s="191"/>
      <c r="AD737" s="192"/>
      <c r="AE737" s="190"/>
      <c r="AF737" s="190"/>
      <c r="AG737" s="191"/>
      <c r="AH737" s="193"/>
      <c r="AI737" s="190"/>
      <c r="AJ737" s="190"/>
      <c r="AK737" s="374"/>
      <c r="AL737" s="348"/>
      <c r="AM737" s="354"/>
      <c r="AN737" s="354"/>
      <c r="AO737" s="354"/>
      <c r="AP737" s="354"/>
      <c r="AQ737" s="350"/>
      <c r="AR737" s="769"/>
      <c r="AS737" s="769"/>
      <c r="AT737" s="769"/>
      <c r="BM737" s="335"/>
    </row>
    <row r="738" spans="1:65" ht="22.25" customHeight="1">
      <c r="A738" s="181">
        <f t="shared" si="250"/>
        <v>45292</v>
      </c>
      <c r="B738" s="485"/>
      <c r="C738" s="490"/>
      <c r="D738" s="521"/>
      <c r="E738" s="218" t="e">
        <f>DATE(YEAR(E737),MONTH(E737)+3,DAY(E737)-1)</f>
        <v>#NUM!</v>
      </c>
      <c r="F738" s="227" t="e">
        <f t="shared" si="255"/>
        <v>#NUM!</v>
      </c>
      <c r="G738" s="228" t="e">
        <f t="shared" si="256"/>
        <v>#NUM!</v>
      </c>
      <c r="H738" s="227" t="e">
        <f t="shared" si="257"/>
        <v>#NUM!</v>
      </c>
      <c r="I738" s="231">
        <f>IF(J735&lt;13,J735,"")</f>
        <v>0</v>
      </c>
      <c r="J738" s="230">
        <f>J736+3</f>
        <v>6</v>
      </c>
      <c r="K738" s="506" t="str">
        <f t="shared" si="251"/>
        <v>+Inflat.-P</v>
      </c>
      <c r="L738" s="508" t="e">
        <f>IF(M729="Stufe A",IF(AND(L730="Auswahl treffen",D737&gt;=0,D737&lt;=1000),J729,IF(AND(L730="Vermögend und ambulant",D737&gt;8,D737&lt;=1000),130,IF(AND(L730="Vermögend und ambulant",D737&gt;4,D737&lt;=8),158,IF(AND(L730="Vermögend und ambulant",D737&gt;2,D737&lt;=4),192,IF(AND(L730="Vermögend und ambulant",D737&gt;1,D737&lt;=2),208,IF(AND(L730="Vermögend und ambulant",D737&gt;0,D737&lt;=1),298,IF(AND(L730="Vermögend und stationär",D737&gt;8,D737&lt;=1000),78,IF(AND(L730="Vermögend und stationär",D737&gt;4,D737&lt;=8),91,IF(AND(L730="Vermögend und stationär",D737&gt;2,D737&lt;=4),140,IF(AND(L730="Vermögend und stationär",D737&gt;1,D737&lt;=2),158,IF(AND(L730="Vermögend und stationär",D737&gt;0,D737&lt;=1),200,IF(AND(L730="Mittellos und ambulant",D737&gt;8,D737&lt;=1000),105,IF(AND(L730="Mittellos und ambulant",D737&gt;4,D737&lt;=8),122,IF(AND(L730="Mittellos und ambulant",D737&gt;2,D737&lt;=4),151,IF(AND(L730="Mittellos und ambulant",D737&gt;1,D737&lt;=2),170,IF(AND(L730="Mittellos und ambulant",D737&gt;0,D737&lt;=1),208,IF(AND(L730="Mittellos und stationär",D737&gt;8,D737&lt;=1000),62,IF(AND(L730="Mittellos und stationär",D737&gt;4,D737&lt;=8),87,IF(AND(L730="Mittellos und stationär",D737&gt;2,D737&lt;=4),124,IF(AND(L730="Mittellos und stationär",D737&gt;1,D737&lt;=2),129,IF(AND(L730="Mittellos und stationär",D737&gt;0,D737&lt;=1),194,""))))))))))))))))))))),IF(M729="Stufe B",IF(AND(L730="Auswahl treffen",D737&gt;=0,D737&lt;=1000),J729,IF(AND(L730="Vermögend und ambulant",D737&gt;8,D737&lt;=1000),161,IF(AND(L730="Vermögend und ambulant",D737&gt;4,D737&lt;=8),196,IF(AND(L730="Vermögend und ambulant",D737&gt;2,D737&lt;=4),238,IF(AND(L730="Vermögend und ambulant",D737&gt;1,D737&lt;=2),258,IF(AND(L730="Vermögend und ambulant",D737&gt;0,D737&lt;=1),370,IF(AND(L730="Vermögend und stationär",D737&gt;8,D737&lt;=1000),96,IF(AND(L730="Vermögend und stationär",D737&gt;4,D737&lt;=8),113,IF(AND(L730="Vermögend und stationär",D737&gt;2,D737&lt;=4),174,IF(AND(L730="Vermögend und stationär",D737&gt;1,D737&lt;=2),196,IF(AND(L730="Vermögend und stationär",D737&gt;0,D737&lt;=1),249,IF(AND(L730="Mittellos und ambulant",D737&gt;8,D737&lt;=1000),130,IF(AND(L730="Mittellos und ambulant",D737&gt;4,D737&lt;=8),151,IF(AND(L730="Mittellos und ambulant",D737&gt;2,D737&lt;=4),188,IF(AND(L730="Mittellos und ambulant",D737&gt;1,D737&lt;=2),211,IF(AND(L730="Mittellos und ambulant",D737&gt;0,D737&lt;=1),258,IF(AND(L730="Mittellos und stationär",D737&gt;8,D737&lt;=1000),78,IF(AND(L730="Mittellos und stationär",D737&gt;4,D737&lt;=8),107,IF(AND(L730="Mittellos und stationär",D737&gt;2,D737&lt;=4),154,IF(AND(L730="Mittellos und stationär",D737&gt;1,D737&lt;=2),158,IF(AND(L730="Mittellos und stationär",D737&gt;0,D737&lt;=1),241,""))))))))))))))))))))),IF(M729="Stufe C",IF(AND(L730="Auswahl treffen",D737&gt;=0,D737&lt;=1000),J729,IF(AND(L730="Vermögend und ambulant",D737&gt;8,D737&lt;=1000),211,IF(AND(L730="Vermögend und ambulant",D737&gt;4,D737&lt;=8),257,IF(AND(L730="Vermögend und ambulant",D737&gt;2,D737&lt;=4),312,IF(AND(L730="Vermögend und ambulant",D737&gt;1,D737&lt;=2),339,IF(AND(L730="Vermögend und ambulant",D737&gt;0,D737&lt;=1),486,IF(AND(L730="Vermögend und stationär",D737&gt;8,D737&lt;=1000),127,IF(AND(L730="Vermögend und stationär",D737&gt;4,D737&lt;=8),149,IF(AND(L730="Vermögend und stationär",D737&gt;2,D737&lt;=4),229,IF(AND(L730="Vermögend und stationär",D737&gt;1,D737&lt;=2),257,IF(AND(L730="Vermögend und stationär",D737&gt;0,D737&lt;=1),327,IF(AND(L730="Mittellos und ambulant",D737&gt;8,D737&lt;=1000),171,IF(AND(L730="Mittellos und ambulant",D737&gt;4,D737&lt;=8),198,IF(AND(L730="Mittellos und ambulant",D737&gt;2,D737&lt;=4),246,IF(AND(L730="Mittellos und ambulant",D737&gt;1,D737&lt;=2),277,IF(AND(L730="Mittellos und ambulant",D737&gt;0,D737&lt;=1),339,IF(AND(L730="Mittellos und stationär",D737&gt;8,D737&lt;=1000),102,IF(AND(L730="Mittellos und stationär",D737&gt;4,D737&lt;=8),141,IF(AND(L730="Mittellos und stationär",D737&gt;2,D737&lt;=4),202,IF(AND(L730="Mittellos und stationär",D737&gt;1,D737&lt;=2),208,IF(AND(L730="Mittellos und stationär",D737&gt;0,D737&lt;=1),317,""))))))))))))))))))))),"")))*3+(J729*90)</f>
        <v>#NUM!</v>
      </c>
      <c r="M738" s="507" t="str">
        <f>CONCATENATE(K738, K737)</f>
        <v>+Inflat.-P</v>
      </c>
      <c r="N738" s="216"/>
      <c r="O738" s="188"/>
      <c r="P738" s="188"/>
      <c r="Q738" s="217" t="s">
        <v>118</v>
      </c>
      <c r="R738" s="189"/>
      <c r="S738" s="190"/>
      <c r="T738" s="190"/>
      <c r="U738" s="191"/>
      <c r="V738" s="192"/>
      <c r="W738" s="190"/>
      <c r="X738" s="190"/>
      <c r="Y738" s="191"/>
      <c r="Z738" s="192"/>
      <c r="AA738" s="190"/>
      <c r="AB738" s="190"/>
      <c r="AC738" s="191"/>
      <c r="AD738" s="192"/>
      <c r="AE738" s="190" t="s">
        <v>118</v>
      </c>
      <c r="AF738" s="190" t="s">
        <v>117</v>
      </c>
      <c r="AG738" s="191" t="s">
        <v>26</v>
      </c>
      <c r="AH738" s="193"/>
      <c r="AI738" s="190" t="s">
        <v>118</v>
      </c>
      <c r="AJ738" s="190" t="s">
        <v>117</v>
      </c>
      <c r="AK738" s="374" t="s">
        <v>26</v>
      </c>
      <c r="AL738" s="348" t="s">
        <v>151</v>
      </c>
      <c r="AM738" s="354"/>
      <c r="AN738" s="354"/>
      <c r="AO738" s="354"/>
      <c r="AP738" s="354">
        <f>IF(SUM(Q730:Q738)=SUM(AE730:AE738,AI730:AI738), 0, SUM(Q730:Q738)-SUM(AE730:AE738,AI730:AI738))</f>
        <v>0</v>
      </c>
      <c r="AQ738" s="350">
        <f>AM738+AN738+AO738+AP738</f>
        <v>0</v>
      </c>
      <c r="AR738" s="769"/>
      <c r="AS738" s="769"/>
      <c r="AT738" s="769"/>
      <c r="BM738" s="335"/>
    </row>
    <row r="739" spans="1:65" ht="22" customHeight="1">
      <c r="A739" s="181">
        <f t="shared" si="250"/>
        <v>45292</v>
      </c>
      <c r="B739" s="232" t="s">
        <v>74</v>
      </c>
      <c r="C739" s="233" t="s">
        <v>75</v>
      </c>
      <c r="D739" s="234" t="s">
        <v>76</v>
      </c>
      <c r="E739" s="235" t="s">
        <v>11</v>
      </c>
      <c r="F739" s="235" t="s">
        <v>4</v>
      </c>
      <c r="G739" s="235" t="s">
        <v>5</v>
      </c>
      <c r="H739" s="235" t="s">
        <v>6</v>
      </c>
      <c r="I739" s="236" t="s">
        <v>77</v>
      </c>
      <c r="J739" s="306"/>
      <c r="K739" s="501" t="str">
        <f t="shared" si="251"/>
        <v/>
      </c>
      <c r="L739" s="306" t="str">
        <f>IFERROR(VLOOKUP(B740,'Aktuelle Einnahmen'!A2:J104,10,0),"")</f>
        <v/>
      </c>
      <c r="M739" s="510" t="str">
        <f>M729</f>
        <v>Stufe C</v>
      </c>
      <c r="N739" s="237"/>
      <c r="O739" s="238"/>
      <c r="P739" s="238"/>
      <c r="Q739" s="239"/>
      <c r="R739" s="240"/>
      <c r="S739" s="241"/>
      <c r="T739" s="241"/>
      <c r="U739" s="242"/>
      <c r="V739" s="243"/>
      <c r="W739" s="241"/>
      <c r="X739" s="241"/>
      <c r="Y739" s="242"/>
      <c r="Z739" s="243"/>
      <c r="AA739" s="241"/>
      <c r="AB739" s="241"/>
      <c r="AC739" s="242"/>
      <c r="AD739" s="243"/>
      <c r="AE739" s="241"/>
      <c r="AF739" s="241"/>
      <c r="AG739" s="242"/>
      <c r="AH739" s="240"/>
      <c r="AI739" s="241"/>
      <c r="AJ739" s="241"/>
      <c r="AK739" s="377"/>
      <c r="AL739" s="347"/>
      <c r="AM739" s="353"/>
      <c r="AN739" s="353"/>
      <c r="AO739" s="353"/>
      <c r="AP739" s="353"/>
      <c r="AQ739" s="349"/>
      <c r="AR739" s="768"/>
      <c r="AS739" s="768"/>
      <c r="AT739" s="768"/>
      <c r="BM739" s="335"/>
    </row>
    <row r="740" spans="1:65" ht="23" customHeight="1">
      <c r="A740" s="181">
        <f t="shared" si="250"/>
        <v>45292</v>
      </c>
      <c r="B740" s="182">
        <v>74</v>
      </c>
      <c r="C740" s="245">
        <f>IFERROR(VLOOKUP($B740,'Aktuelle Einnahmen'!A2:G104,3,0),"")</f>
        <v>0</v>
      </c>
      <c r="D740" s="246">
        <f>IFERROR(VLOOKUP($B740,'Aktuelle Einnahmen'!A2:G104,2,0),"")</f>
        <v>0</v>
      </c>
      <c r="E740" s="247">
        <f>IFERROR(VLOOKUP($B740,'Aktuelle Einnahmen'!A2:G104,4,0),"")</f>
        <v>0</v>
      </c>
      <c r="F740" s="94">
        <f>IFERROR(VLOOKUP($B740,'Aktuelle Einnahmen'!A2:G104,5,0),"")</f>
        <v>0</v>
      </c>
      <c r="G740" s="94">
        <f>IFERROR(VLOOKUP($B740,'Aktuelle Einnahmen'!A2:G104,6,0),"")</f>
        <v>0</v>
      </c>
      <c r="H740" s="94">
        <f>IFERROR(VLOOKUP($B740,'Aktuelle Einnahmen'!A2:G104,7,0),"")</f>
        <v>0</v>
      </c>
      <c r="I740" s="186" t="e">
        <f>DATE(H740,G740,F740)</f>
        <v>#NUM!</v>
      </c>
      <c r="J740" s="472">
        <f ca="1">J730</f>
        <v>45475</v>
      </c>
      <c r="K740" s="501" t="str">
        <f t="shared" si="251"/>
        <v>+Inflat.-P</v>
      </c>
      <c r="L740" s="1262" t="str">
        <f>IFERROR(VLOOKUP(B740,'Aktuelle Einnahmen'!A22:I124,9,0),"")</f>
        <v>Auswahl treffen</v>
      </c>
      <c r="M740" s="1263"/>
      <c r="N740" s="261"/>
      <c r="O740" s="261"/>
      <c r="P740" s="261"/>
      <c r="Q740" s="261"/>
      <c r="R740" s="189"/>
      <c r="S740" s="190"/>
      <c r="T740" s="190"/>
      <c r="U740" s="191"/>
      <c r="V740" s="192"/>
      <c r="W740" s="190"/>
      <c r="X740" s="190"/>
      <c r="Y740" s="191"/>
      <c r="Z740" s="192"/>
      <c r="AA740" s="190"/>
      <c r="AB740" s="190"/>
      <c r="AC740" s="191"/>
      <c r="AD740" s="192"/>
      <c r="AE740" s="190"/>
      <c r="AF740" s="190"/>
      <c r="AG740" s="191"/>
      <c r="AH740" s="193"/>
      <c r="AI740" s="190"/>
      <c r="AJ740" s="190"/>
      <c r="AK740" s="374"/>
      <c r="AL740" s="348"/>
      <c r="AM740" s="354"/>
      <c r="AN740" s="354"/>
      <c r="AO740" s="354"/>
      <c r="AP740" s="354"/>
      <c r="AQ740" s="350"/>
      <c r="AR740" s="769"/>
      <c r="AS740" s="769"/>
      <c r="AT740" s="769"/>
      <c r="BM740" s="335"/>
    </row>
    <row r="741" spans="1:65" ht="22.25" customHeight="1">
      <c r="A741" s="181">
        <f t="shared" si="250"/>
        <v>45292</v>
      </c>
      <c r="B741" s="484" t="e">
        <f>DAY(I740)</f>
        <v>#NUM!</v>
      </c>
      <c r="C741" s="489" t="s">
        <v>158</v>
      </c>
      <c r="D741" s="520" t="e">
        <f>(I741*4)+J741/3+1</f>
        <v>#NUM!</v>
      </c>
      <c r="E741" s="194" t="e">
        <f>J743+1</f>
        <v>#NUM!</v>
      </c>
      <c r="F741" s="195" t="e">
        <f t="shared" ref="F741:F748" si="258">DAY(E741)</f>
        <v>#NUM!</v>
      </c>
      <c r="G741" s="196" t="e">
        <f t="shared" ref="G741:G748" si="259">MONTH(E741)</f>
        <v>#NUM!</v>
      </c>
      <c r="H741" s="195" t="e">
        <f t="shared" ref="H741:H748" si="260">YEAR(E741)</f>
        <v>#NUM!</v>
      </c>
      <c r="I741" s="197" t="e">
        <f>H741-(H740+2000)</f>
        <v>#NUM!</v>
      </c>
      <c r="J741" s="198" t="e">
        <f>G741-G740</f>
        <v>#NUM!</v>
      </c>
      <c r="K741" s="506" t="str">
        <f>L739</f>
        <v/>
      </c>
      <c r="L741" s="469"/>
      <c r="M741" s="473" t="e">
        <f ca="1">SUM(J740-E742)&amp;" Tage"</f>
        <v>#NUM!</v>
      </c>
      <c r="N741" s="206"/>
      <c r="O741" s="201"/>
      <c r="P741" s="201"/>
      <c r="Q741" s="202"/>
      <c r="R741" s="189"/>
      <c r="S741" s="203"/>
      <c r="T741" s="203"/>
      <c r="U741" s="204"/>
      <c r="V741" s="192"/>
      <c r="W741" s="203"/>
      <c r="X741" s="203"/>
      <c r="Y741" s="204"/>
      <c r="Z741" s="192"/>
      <c r="AA741" s="203"/>
      <c r="AB741" s="203"/>
      <c r="AC741" s="204"/>
      <c r="AD741" s="192"/>
      <c r="AE741" s="203"/>
      <c r="AF741" s="203"/>
      <c r="AG741" s="204"/>
      <c r="AH741" s="193"/>
      <c r="AI741" s="203"/>
      <c r="AJ741" s="203"/>
      <c r="AK741" s="375"/>
      <c r="AL741" s="348"/>
      <c r="AM741" s="354"/>
      <c r="AN741" s="354"/>
      <c r="AO741" s="354"/>
      <c r="AP741" s="354"/>
      <c r="AQ741" s="350"/>
      <c r="AR741" s="769"/>
      <c r="AS741" s="769"/>
      <c r="AT741" s="769"/>
      <c r="BM741" s="335"/>
    </row>
    <row r="742" spans="1:65" ht="22.25" customHeight="1">
      <c r="A742" s="181">
        <f t="shared" si="250"/>
        <v>45292</v>
      </c>
      <c r="B742" s="485"/>
      <c r="C742" s="490"/>
      <c r="D742" s="521"/>
      <c r="E742" s="194" t="e">
        <f>DATE(YEAR(E741),MONTH(E741)+3,DAY(E741)-1)</f>
        <v>#NUM!</v>
      </c>
      <c r="F742" s="195" t="e">
        <f t="shared" si="258"/>
        <v>#NUM!</v>
      </c>
      <c r="G742" s="196" t="e">
        <f t="shared" si="259"/>
        <v>#NUM!</v>
      </c>
      <c r="H742" s="195" t="e">
        <f t="shared" si="260"/>
        <v>#NUM!</v>
      </c>
      <c r="I742" s="244">
        <v>-1</v>
      </c>
      <c r="J742" s="198" t="e">
        <f>F741-F740</f>
        <v>#NUM!</v>
      </c>
      <c r="K742" s="501" t="str">
        <f t="shared" si="251"/>
        <v>+Inflat.-P</v>
      </c>
      <c r="L742" s="511" t="e">
        <f>IF(M739="Stufe A",IF(AND(L740="Auswahl treffen",D741&gt;=0,D741&lt;=1000),J739,IF(AND(L740="Vermögend und ambulant",D741&gt;8,D741&lt;=1000),130,IF(AND(L740="Vermögend und ambulant",D741&gt;4,D741&lt;=8),158,IF(AND(L740="Vermögend und ambulant",D741&gt;2,D741&lt;=4),192,IF(AND(L740="Vermögend und ambulant",D741&gt;1,D741&lt;=2),208,IF(AND(L740="Vermögend und ambulant",D741&gt;0,D741&lt;=1),298,IF(AND(L740="Vermögend und stationär",D741&gt;8,D741&lt;=1000),78,IF(AND(L740="Vermögend und stationär",D741&gt;4,D741&lt;=8),91,IF(AND(L740="Vermögend und stationär",D741&gt;2,D741&lt;=4),140,IF(AND(L740="Vermögend und stationär",D741&gt;1,D741&lt;=2),158,IF(AND(L740="Vermögend und stationär",D741&gt;0,D741&lt;=1),200,IF(AND(L740="Mittellos und ambulant",D741&gt;8,D741&lt;=1000),105,IF(AND(L740="Mittellos und ambulant",D741&gt;4,D741&lt;=8),122,IF(AND(L740="Mittellos und ambulant",D741&gt;2,D741&lt;=4),151,IF(AND(L740="Mittellos und ambulant",D741&gt;1,D741&lt;=2),170,IF(AND(L740="Mittellos und ambulant",D741&gt;0,D741&lt;=1),208,IF(AND(L740="Mittellos und stationär",D741&gt;8,D741&lt;=1000),62,IF(AND(L740="Mittellos und stationär",D741&gt;4,D741&lt;=8),87,IF(AND(L740="Mittellos und stationär",D741&gt;2,D741&lt;=4),124,IF(AND(L740="Mittellos und stationär",D741&gt;1,D741&lt;=2),129,IF(AND(L740="Mittellos und stationär",D741&gt;0,D741&lt;=1),194,""))))))))))))))))))))),IF(M739="Stufe B",IF(AND(L740="Auswahl treffen",D741&gt;=0,D741&lt;=1000),J739,IF(AND(L740="Vermögend und ambulant",D741&gt;8,D741&lt;=1000),161,IF(AND(L740="Vermögend und ambulant",D741&gt;4,D741&lt;=8),196,IF(AND(L740="Vermögend und ambulant",D741&gt;2,D741&lt;=4),238,IF(AND(L740="Vermögend und ambulant",D741&gt;1,D741&lt;=2),258,IF(AND(L740="Vermögend und ambulant",D741&gt;0,D741&lt;=1),370,IF(AND(L740="Vermögend und stationär",D741&gt;8,D741&lt;=1000),96,IF(AND(L740="Vermögend und stationär",D741&gt;4,D741&lt;=8),113,IF(AND(L740="Vermögend und stationär",D741&gt;2,D741&lt;=4),174,IF(AND(L740="Vermögend und stationär",D741&gt;1,D741&lt;=2),196,IF(AND(L740="Vermögend und stationär",D741&gt;0,D741&lt;=1),249,IF(AND(L740="Mittellos und ambulant",D741&gt;8,D741&lt;=1000),130,IF(AND(L740="Mittellos und ambulant",D741&gt;4,D741&lt;=8),151,IF(AND(L740="Mittellos und ambulant",D741&gt;2,D741&lt;=4),188,IF(AND(L740="Mittellos und ambulant",D741&gt;1,D741&lt;=2),211,IF(AND(L740="Mittellos und ambulant",D741&gt;0,D741&lt;=1),258,IF(AND(L740="Mittellos und stationär",D741&gt;8,D741&lt;=1000),78,IF(AND(L740="Mittellos und stationär",D741&gt;4,D741&lt;=8),107,IF(AND(L740="Mittellos und stationär",D741&gt;2,D741&lt;=4),154,IF(AND(L740="Mittellos und stationär",D741&gt;1,D741&lt;=2),158,IF(AND(L740="Mittellos und stationär",D741&gt;0,D741&lt;=1),241,""))))))))))))))))))))),IF(M739="Stufe C",IF(AND(L740="Auswahl treffen",D741&gt;=0,D741&lt;=1000),J739,IF(AND(L740="Vermögend und ambulant",D741&gt;8,D741&lt;=1000),211,IF(AND(L740="Vermögend und ambulant",D741&gt;4,D741&lt;=8),257,IF(AND(L740="Vermögend und ambulant",D741&gt;2,D741&lt;=4),312,IF(AND(L740="Vermögend und ambulant",D741&gt;1,D741&lt;=2),339,IF(AND(L740="Vermögend und ambulant",D741&gt;0,D741&lt;=1),486,IF(AND(L740="Vermögend und stationär",D741&gt;8,D741&lt;=1000),127,IF(AND(L740="Vermögend und stationär",D741&gt;4,D741&lt;=8),149,IF(AND(L740="Vermögend und stationär",D741&gt;2,D741&lt;=4),229,IF(AND(L740="Vermögend und stationär",D741&gt;1,D741&lt;=2),257,IF(AND(L740="Vermögend und stationär",D741&gt;0,D741&lt;=1),327,IF(AND(L740="Mittellos und ambulant",D741&gt;8,D741&lt;=1000),171,IF(AND(L740="Mittellos und ambulant",D741&gt;4,D741&lt;=8),198,IF(AND(L740="Mittellos und ambulant",D741&gt;2,D741&lt;=4),246,IF(AND(L740="Mittellos und ambulant",D741&gt;1,D741&lt;=2),277,IF(AND(L740="Mittellos und ambulant",D741&gt;0,D741&lt;=1),339,IF(AND(L740="Mittellos und stationär",D741&gt;8,D741&lt;=1000),102,IF(AND(L740="Mittellos und stationär",D741&gt;4,D741&lt;=8),141,IF(AND(L740="Mittellos und stationär",D741&gt;2,D741&lt;=4),202,IF(AND(L740="Mittellos und stationär",D741&gt;1,D741&lt;=2),208,IF(AND(L740="Mittellos und stationär",D741&gt;0,D741&lt;=1),317,""))))))))))))))))))))),"")))*3+(J739*90)</f>
        <v>#NUM!</v>
      </c>
      <c r="M742" s="507" t="str">
        <f>CONCATENATE(K742, K741)</f>
        <v>+Inflat.-P</v>
      </c>
      <c r="N742" s="206" t="s">
        <v>118</v>
      </c>
      <c r="O742" s="207"/>
      <c r="P742" s="207"/>
      <c r="Q742" s="208"/>
      <c r="R742" s="187"/>
      <c r="S742" s="209" t="s">
        <v>118</v>
      </c>
      <c r="T742" s="201" t="s">
        <v>117</v>
      </c>
      <c r="U742" s="210" t="s">
        <v>26</v>
      </c>
      <c r="V742" s="192"/>
      <c r="W742" s="203"/>
      <c r="X742" s="203"/>
      <c r="Y742" s="210"/>
      <c r="Z742" s="192"/>
      <c r="AA742" s="203"/>
      <c r="AB742" s="203"/>
      <c r="AC742" s="210"/>
      <c r="AD742" s="192"/>
      <c r="AE742" s="203"/>
      <c r="AF742" s="203"/>
      <c r="AG742" s="210"/>
      <c r="AH742" s="193"/>
      <c r="AI742" s="203"/>
      <c r="AJ742" s="203"/>
      <c r="AK742" s="376"/>
      <c r="AL742" s="348" t="s">
        <v>148</v>
      </c>
      <c r="AM742" s="354">
        <f>IF(SUM(N740:N748)=SUM(S740:S748), 0, SUM(N740:N748)-SUM(S740:S748))</f>
        <v>0</v>
      </c>
      <c r="AN742" s="354"/>
      <c r="AO742" s="354"/>
      <c r="AP742" s="354"/>
      <c r="AQ742" s="350">
        <f>AM742+AN742+AO742+AP742</f>
        <v>0</v>
      </c>
      <c r="AR742" s="769"/>
      <c r="AS742" s="769"/>
      <c r="AT742" s="769"/>
      <c r="BM742" s="335"/>
    </row>
    <row r="743" spans="1:65" ht="22.25" customHeight="1">
      <c r="A743" s="181">
        <f t="shared" si="250"/>
        <v>45292</v>
      </c>
      <c r="B743" s="484" t="e">
        <f>MONTH(I740)</f>
        <v>#NUM!</v>
      </c>
      <c r="C743" s="489" t="s">
        <v>158</v>
      </c>
      <c r="D743" s="522" t="e">
        <f>D741+1</f>
        <v>#NUM!</v>
      </c>
      <c r="E743" s="211" t="e">
        <f>DATE(YEAR(E742),MONTH(E742),DAY(E742)+1)</f>
        <v>#NUM!</v>
      </c>
      <c r="F743" s="212" t="e">
        <f t="shared" si="258"/>
        <v>#NUM!</v>
      </c>
      <c r="G743" s="213" t="e">
        <f t="shared" si="259"/>
        <v>#NUM!</v>
      </c>
      <c r="H743" s="212" t="e">
        <f t="shared" si="260"/>
        <v>#NUM!</v>
      </c>
      <c r="I743" s="214" t="str">
        <f>IF(D740&lt;&gt;0,"-1T","")</f>
        <v/>
      </c>
      <c r="J743" s="215" t="e">
        <f>DATE($B745,I744,$B741)</f>
        <v>#NUM!</v>
      </c>
      <c r="K743" s="506" t="str">
        <f t="shared" si="251"/>
        <v/>
      </c>
      <c r="L743" s="470"/>
      <c r="M743" s="473" t="e">
        <f ca="1">SUM(J740-E744)&amp;" Tage"</f>
        <v>#NUM!</v>
      </c>
      <c r="N743" s="216"/>
      <c r="O743" s="217"/>
      <c r="P743" s="188"/>
      <c r="Q743" s="217"/>
      <c r="R743" s="189"/>
      <c r="S743" s="190"/>
      <c r="T743" s="190"/>
      <c r="U743" s="191"/>
      <c r="V743" s="192"/>
      <c r="W743" s="190"/>
      <c r="X743" s="190"/>
      <c r="Y743" s="191"/>
      <c r="Z743" s="192"/>
      <c r="AA743" s="190"/>
      <c r="AB743" s="190"/>
      <c r="AC743" s="191"/>
      <c r="AD743" s="192"/>
      <c r="AE743" s="190"/>
      <c r="AF743" s="190"/>
      <c r="AG743" s="191"/>
      <c r="AH743" s="193"/>
      <c r="AI743" s="190"/>
      <c r="AJ743" s="190"/>
      <c r="AK743" s="374"/>
      <c r="AL743" s="348"/>
      <c r="AM743" s="354"/>
      <c r="AN743" s="354"/>
      <c r="AO743" s="354"/>
      <c r="AP743" s="354"/>
      <c r="AQ743" s="350"/>
      <c r="AR743" s="769"/>
      <c r="AS743" s="769"/>
      <c r="AT743" s="769"/>
      <c r="BM743" s="335"/>
    </row>
    <row r="744" spans="1:65" ht="22.25" customHeight="1">
      <c r="A744" s="181">
        <f t="shared" si="250"/>
        <v>45292</v>
      </c>
      <c r="B744" s="485"/>
      <c r="C744" s="490"/>
      <c r="D744" s="521"/>
      <c r="E744" s="218" t="e">
        <f>DATE(YEAR(E743),MONTH(E743)+3,DAY(E743)-1)</f>
        <v>#NUM!</v>
      </c>
      <c r="F744" s="212" t="e">
        <f t="shared" si="258"/>
        <v>#NUM!</v>
      </c>
      <c r="G744" s="213" t="e">
        <f t="shared" si="259"/>
        <v>#NUM!</v>
      </c>
      <c r="H744" s="212" t="e">
        <f t="shared" si="260"/>
        <v>#NUM!</v>
      </c>
      <c r="I744" s="219">
        <f>MAX(I745:I748)</f>
        <v>9</v>
      </c>
      <c r="J744" s="220" t="e">
        <f>DATE(YEAR(J743)+1,MONTH(J743),DAY(J743))</f>
        <v>#NUM!</v>
      </c>
      <c r="K744" s="501" t="str">
        <f t="shared" si="251"/>
        <v>+Inflat.-P</v>
      </c>
      <c r="L744" s="508" t="e">
        <f>IF(M739="Stufe A",IF(AND(L740="Auswahl treffen",D743&gt;=0,D743&lt;=1000),J739,IF(AND(L740="Vermögend und ambulant",D743&gt;8,D743&lt;=1000),130,IF(AND(L740="Vermögend und ambulant",D743&gt;4,D743&lt;=8),158,IF(AND(L740="Vermögend und ambulant",D743&gt;2,D743&lt;=4),192,IF(AND(L740="Vermögend und ambulant",D743&gt;1,D743&lt;=2),208,IF(AND(L740="Vermögend und ambulant",D743&gt;0,D743&lt;=1),298,IF(AND(L740="Vermögend und stationär",D743&gt;8,D743&lt;=1000),78,IF(AND(L740="Vermögend und stationär",D743&gt;4,D743&lt;=8),91,IF(AND(L740="Vermögend und stationär",D743&gt;2,D743&lt;=4),140,IF(AND(L740="Vermögend und stationär",D743&gt;1,D743&lt;=2),158,IF(AND(L740="Vermögend und stationär",D743&gt;0,D743&lt;=1),200,IF(AND(L740="Mittellos und ambulant",D743&gt;8,D743&lt;=1000),105,IF(AND(L740="Mittellos und ambulant",D743&gt;4,D743&lt;=8),122,IF(AND(L740="Mittellos und ambulant",D743&gt;2,D743&lt;=4),151,IF(AND(L740="Mittellos und ambulant",D743&gt;1,D743&lt;=2),170,IF(AND(L740="Mittellos und ambulant",D743&gt;0,D743&lt;=1),208,IF(AND(L740="Mittellos und stationär",D743&gt;8,D743&lt;=1000),62,IF(AND(L740="Mittellos und stationär",D743&gt;4,D743&lt;=8),87,IF(AND(L740="Mittellos und stationär",D743&gt;2,D743&lt;=4),124,IF(AND(L740="Mittellos und stationär",D743&gt;1,D743&lt;=2),129,IF(AND(L740="Mittellos und stationär",D743&gt;0,D743&lt;=1),194,""))))))))))))))))))))),IF(M739="Stufe B",IF(AND(L740="Auswahl treffen",D743&gt;=0,D743&lt;=1000),J739,IF(AND(L740="Vermögend und ambulant",D743&gt;8,D743&lt;=1000),161,IF(AND(L740="Vermögend und ambulant",D743&gt;4,D743&lt;=8),196,IF(AND(L740="Vermögend und ambulant",D743&gt;2,D743&lt;=4),238,IF(AND(L740="Vermögend und ambulant",D743&gt;1,D743&lt;=2),258,IF(AND(L740="Vermögend und ambulant",D743&gt;0,D743&lt;=1),370,IF(AND(L740="Vermögend und stationär",D743&gt;8,D743&lt;=1000),96,IF(AND(L740="Vermögend und stationär",D743&gt;4,D743&lt;=8),113,IF(AND(L740="Vermögend und stationär",D743&gt;2,D743&lt;=4),174,IF(AND(L740="Vermögend und stationär",D743&gt;1,D743&lt;=2),196,IF(AND(L740="Vermögend und stationär",D743&gt;0,D743&lt;=1),249,IF(AND(L740="Mittellos und ambulant",D743&gt;8,D743&lt;=1000),130,IF(AND(L740="Mittellos und ambulant",D743&gt;4,D743&lt;=8),151,IF(AND(L740="Mittellos und ambulant",D743&gt;2,D743&lt;=4),188,IF(AND(L740="Mittellos und ambulant",D743&gt;1,D743&lt;=2),211,IF(AND(L740="Mittellos und ambulant",D743&gt;0,D743&lt;=1),258,IF(AND(L740="Mittellos und stationär",D743&gt;8,D743&lt;=1000),78,IF(AND(L740="Mittellos und stationär",D743&gt;4,D743&lt;=8),107,IF(AND(L740="Mittellos und stationär",D743&gt;2,D743&lt;=4),154,IF(AND(L740="Mittellos und stationär",D743&gt;1,D743&lt;=2),158,IF(AND(L740="Mittellos und stationär",D743&gt;0,D743&lt;=1),241,""))))))))))))))))))))),IF(M739="Stufe C",IF(AND(L740="Auswahl treffen",D743&gt;=0,D743&lt;=1000),J739,IF(AND(L740="Vermögend und ambulant",D743&gt;8,D743&lt;=1000),211,IF(AND(L740="Vermögend und ambulant",D743&gt;4,D743&lt;=8),257,IF(AND(L740="Vermögend und ambulant",D743&gt;2,D743&lt;=4),312,IF(AND(L740="Vermögend und ambulant",D743&gt;1,D743&lt;=2),339,IF(AND(L740="Vermögend und ambulant",D743&gt;0,D743&lt;=1),486,IF(AND(L740="Vermögend und stationär",D743&gt;8,D743&lt;=1000),127,IF(AND(L740="Vermögend und stationär",D743&gt;4,D743&lt;=8),149,IF(AND(L740="Vermögend und stationär",D743&gt;2,D743&lt;=4),229,IF(AND(L740="Vermögend und stationär",D743&gt;1,D743&lt;=2),257,IF(AND(L740="Vermögend und stationär",D743&gt;0,D743&lt;=1),327,IF(AND(L740="Mittellos und ambulant",D743&gt;8,D743&lt;=1000),171,IF(AND(L740="Mittellos und ambulant",D743&gt;4,D743&lt;=8),198,IF(AND(L740="Mittellos und ambulant",D743&gt;2,D743&lt;=4),246,IF(AND(L740="Mittellos und ambulant",D743&gt;1,D743&lt;=2),277,IF(AND(L740="Mittellos und ambulant",D743&gt;0,D743&lt;=1),339,IF(AND(L740="Mittellos und stationär",D743&gt;8,D743&lt;=1000),102,IF(AND(L740="Mittellos und stationär",D743&gt;4,D743&lt;=8),141,IF(AND(L740="Mittellos und stationär",D743&gt;2,D743&lt;=4),202,IF(AND(L740="Mittellos und stationär",D743&gt;1,D743&lt;=2),208,IF(AND(L740="Mittellos und stationär",D743&gt;0,D743&lt;=1),317,""))))))))))))))))))))),"")))*3+(J739*90)</f>
        <v>#NUM!</v>
      </c>
      <c r="M744" s="507" t="str">
        <f>CONCATENATE(K744, K743)</f>
        <v>+Inflat.-P</v>
      </c>
      <c r="N744" s="216"/>
      <c r="O744" s="188" t="s">
        <v>118</v>
      </c>
      <c r="P744" s="188"/>
      <c r="Q744" s="221"/>
      <c r="R744" s="199"/>
      <c r="S744" s="190"/>
      <c r="T744" s="190"/>
      <c r="U744" s="191"/>
      <c r="V744" s="192"/>
      <c r="W744" s="222" t="s">
        <v>118</v>
      </c>
      <c r="X744" s="222" t="s">
        <v>117</v>
      </c>
      <c r="Y744" s="191" t="s">
        <v>26</v>
      </c>
      <c r="Z744" s="192"/>
      <c r="AA744" s="190"/>
      <c r="AB744" s="190"/>
      <c r="AC744" s="191"/>
      <c r="AD744" s="192"/>
      <c r="AE744" s="190"/>
      <c r="AF744" s="190"/>
      <c r="AG744" s="191"/>
      <c r="AH744" s="193"/>
      <c r="AI744" s="190"/>
      <c r="AJ744" s="190"/>
      <c r="AK744" s="374"/>
      <c r="AL744" s="348" t="s">
        <v>149</v>
      </c>
      <c r="AM744" s="354"/>
      <c r="AN744" s="354">
        <f>IF(SUM(O740:O748)=SUM(W740:W748), 0, SUM(O740:O748)-SUM(W740:W748))</f>
        <v>0</v>
      </c>
      <c r="AO744" s="354"/>
      <c r="AP744" s="354"/>
      <c r="AQ744" s="350">
        <f>AM744+AN744+AO744+AP744</f>
        <v>0</v>
      </c>
      <c r="AR744" s="769"/>
      <c r="AS744" s="769"/>
      <c r="AT744" s="769"/>
      <c r="BM744" s="335"/>
    </row>
    <row r="745" spans="1:65" ht="22.25" customHeight="1">
      <c r="A745" s="181">
        <f t="shared" si="250"/>
        <v>45292</v>
      </c>
      <c r="B745" s="484">
        <f>YEAR($A746)-1</f>
        <v>2023</v>
      </c>
      <c r="C745" s="489" t="s">
        <v>158</v>
      </c>
      <c r="D745" s="520" t="e">
        <f>D743+1</f>
        <v>#NUM!</v>
      </c>
      <c r="E745" s="194" t="e">
        <f>DATE(YEAR(E744),MONTH(E744),DAY(E744)+1)</f>
        <v>#NUM!</v>
      </c>
      <c r="F745" s="195" t="e">
        <f t="shared" si="258"/>
        <v>#NUM!</v>
      </c>
      <c r="G745" s="196" t="e">
        <f t="shared" si="259"/>
        <v>#NUM!</v>
      </c>
      <c r="H745" s="195" t="e">
        <f t="shared" si="260"/>
        <v>#NUM!</v>
      </c>
      <c r="I745" s="197">
        <f>IF(J747&lt;13,J747,"")</f>
        <v>9</v>
      </c>
      <c r="J745" s="224">
        <f>G740</f>
        <v>0</v>
      </c>
      <c r="K745" s="506" t="str">
        <f t="shared" si="251"/>
        <v/>
      </c>
      <c r="L745" s="471"/>
      <c r="M745" s="473" t="e">
        <f ca="1">SUM(J740-E746)&amp;" Tage"</f>
        <v>#NUM!</v>
      </c>
      <c r="N745" s="200"/>
      <c r="O745" s="201"/>
      <c r="P745" s="201"/>
      <c r="Q745" s="202"/>
      <c r="R745" s="189"/>
      <c r="S745" s="203"/>
      <c r="T745" s="203"/>
      <c r="U745" s="204"/>
      <c r="V745" s="192"/>
      <c r="W745" s="203"/>
      <c r="X745" s="203"/>
      <c r="Y745" s="204"/>
      <c r="Z745" s="192"/>
      <c r="AA745" s="203"/>
      <c r="AB745" s="203"/>
      <c r="AC745" s="204"/>
      <c r="AD745" s="192"/>
      <c r="AE745" s="203"/>
      <c r="AF745" s="203"/>
      <c r="AG745" s="204"/>
      <c r="AH745" s="193"/>
      <c r="AI745" s="203"/>
      <c r="AJ745" s="203"/>
      <c r="AK745" s="375"/>
      <c r="AL745" s="348"/>
      <c r="AM745" s="354"/>
      <c r="AN745" s="354"/>
      <c r="AO745" s="354"/>
      <c r="AP745" s="354"/>
      <c r="AQ745" s="350"/>
      <c r="AR745" s="769"/>
      <c r="AS745" s="769"/>
      <c r="AT745" s="769"/>
      <c r="BM745" s="335"/>
    </row>
    <row r="746" spans="1:65" ht="22.25" customHeight="1">
      <c r="A746" s="181">
        <f t="shared" si="250"/>
        <v>45292</v>
      </c>
      <c r="B746" s="485"/>
      <c r="C746" s="490"/>
      <c r="D746" s="521"/>
      <c r="E746" s="194" t="e">
        <f>DATE(YEAR(E745),MONTH(E745)+3,DAY(E745)-1)</f>
        <v>#NUM!</v>
      </c>
      <c r="F746" s="195" t="e">
        <f t="shared" si="258"/>
        <v>#NUM!</v>
      </c>
      <c r="G746" s="196" t="e">
        <f t="shared" si="259"/>
        <v>#NUM!</v>
      </c>
      <c r="H746" s="195" t="e">
        <f t="shared" si="260"/>
        <v>#NUM!</v>
      </c>
      <c r="I746" s="244">
        <f>IF(J748&lt;13,J748,"")</f>
        <v>6</v>
      </c>
      <c r="J746" s="224">
        <f>J745+3</f>
        <v>3</v>
      </c>
      <c r="K746" s="501" t="str">
        <f t="shared" si="251"/>
        <v>+Inflat.-P</v>
      </c>
      <c r="L746" s="511" t="e">
        <f>IF(M739="Stufe A",IF(AND(L740="Auswahl treffen",D745&gt;=0,D745&lt;=1000),J739,IF(AND(L740="Vermögend und ambulant",D745&gt;8,D745&lt;=1000),130,IF(AND(L740="Vermögend und ambulant",D745&gt;4,D745&lt;=8),158,IF(AND(L740="Vermögend und ambulant",D745&gt;2,D745&lt;=4),192,IF(AND(L740="Vermögend und ambulant",D745&gt;1,D745&lt;=2),208,IF(AND(L740="Vermögend und ambulant",D745&gt;0,D745&lt;=1),298,IF(AND(L740="Vermögend und stationär",D745&gt;8,D745&lt;=1000),78,IF(AND(L740="Vermögend und stationär",D745&gt;4,D745&lt;=8),91,IF(AND(L740="Vermögend und stationär",D745&gt;2,D745&lt;=4),140,IF(AND(L740="Vermögend und stationär",D745&gt;1,D745&lt;=2),158,IF(AND(L740="Vermögend und stationär",D745&gt;0,D745&lt;=1),200,IF(AND(L740="Mittellos und ambulant",D745&gt;8,D745&lt;=1000),105,IF(AND(L740="Mittellos und ambulant",D745&gt;4,D745&lt;=8),122,IF(AND(L740="Mittellos und ambulant",D745&gt;2,D745&lt;=4),151,IF(AND(L740="Mittellos und ambulant",D745&gt;1,D745&lt;=2),170,IF(AND(L740="Mittellos und ambulant",D745&gt;0,D745&lt;=1),208,IF(AND(L740="Mittellos und stationär",D745&gt;8,D745&lt;=1000),62,IF(AND(L740="Mittellos und stationär",D745&gt;4,D745&lt;=8),87,IF(AND(L740="Mittellos und stationär",D745&gt;2,D745&lt;=4),124,IF(AND(L740="Mittellos und stationär",D745&gt;1,D745&lt;=2),129,IF(AND(L740="Mittellos und stationär",D745&gt;0,D745&lt;=1),194,""))))))))))))))))))))),IF(M739="Stufe B",IF(AND(L740="Auswahl treffen",D745&gt;=0,D745&lt;=1000),J739,IF(AND(L740="Vermögend und ambulant",D745&gt;8,D745&lt;=1000),161,IF(AND(L740="Vermögend und ambulant",D745&gt;4,D745&lt;=8),196,IF(AND(L740="Vermögend und ambulant",D745&gt;2,D745&lt;=4),238,IF(AND(L740="Vermögend und ambulant",D745&gt;1,D745&lt;=2),258,IF(AND(L740="Vermögend und ambulant",D745&gt;0,D745&lt;=1),370,IF(AND(L740="Vermögend und stationär",D745&gt;8,D745&lt;=1000),96,IF(AND(L740="Vermögend und stationär",D745&gt;4,D745&lt;=8),113,IF(AND(L740="Vermögend und stationär",D745&gt;2,D745&lt;=4),174,IF(AND(L740="Vermögend und stationär",D745&gt;1,D745&lt;=2),196,IF(AND(L740="Vermögend und stationär",D745&gt;0,D745&lt;=1),249,IF(AND(L740="Mittellos und ambulant",D745&gt;8,D745&lt;=1000),130,IF(AND(L740="Mittellos und ambulant",D745&gt;4,D745&lt;=8),151,IF(AND(L740="Mittellos und ambulant",D745&gt;2,D745&lt;=4),188,IF(AND(L740="Mittellos und ambulant",D745&gt;1,D745&lt;=2),211,IF(AND(L740="Mittellos und ambulant",D745&gt;0,D745&lt;=1),258,IF(AND(L740="Mittellos und stationär",D745&gt;8,D745&lt;=1000),78,IF(AND(L740="Mittellos und stationär",D745&gt;4,D745&lt;=8),107,IF(AND(L740="Mittellos und stationär",D745&gt;2,D745&lt;=4),154,IF(AND(L740="Mittellos und stationär",D745&gt;1,D745&lt;=2),158,IF(AND(L740="Mittellos und stationär",D745&gt;0,D745&lt;=1),241,""))))))))))))))))))))),IF(M739="Stufe C",IF(AND(L740="Auswahl treffen",D745&gt;=0,D745&lt;=1000),J739,IF(AND(L740="Vermögend und ambulant",D745&gt;8,D745&lt;=1000),211,IF(AND(L740="Vermögend und ambulant",D745&gt;4,D745&lt;=8),257,IF(AND(L740="Vermögend und ambulant",D745&gt;2,D745&lt;=4),312,IF(AND(L740="Vermögend und ambulant",D745&gt;1,D745&lt;=2),339,IF(AND(L740="Vermögend und ambulant",D745&gt;0,D745&lt;=1),486,IF(AND(L740="Vermögend und stationär",D745&gt;8,D745&lt;=1000),127,IF(AND(L740="Vermögend und stationär",D745&gt;4,D745&lt;=8),149,IF(AND(L740="Vermögend und stationär",D745&gt;2,D745&lt;=4),229,IF(AND(L740="Vermögend und stationär",D745&gt;1,D745&lt;=2),257,IF(AND(L740="Vermögend und stationär",D745&gt;0,D745&lt;=1),327,IF(AND(L740="Mittellos und ambulant",D745&gt;8,D745&lt;=1000),171,IF(AND(L740="Mittellos und ambulant",D745&gt;4,D745&lt;=8),198,IF(AND(L740="Mittellos und ambulant",D745&gt;2,D745&lt;=4),246,IF(AND(L740="Mittellos und ambulant",D745&gt;1,D745&lt;=2),277,IF(AND(L740="Mittellos und ambulant",D745&gt;0,D745&lt;=1),339,IF(AND(L740="Mittellos und stationär",D745&gt;8,D745&lt;=1000),102,IF(AND(L740="Mittellos und stationär",D745&gt;4,D745&lt;=8),141,IF(AND(L740="Mittellos und stationär",D745&gt;2,D745&lt;=4),202,IF(AND(L740="Mittellos und stationär",D745&gt;1,D745&lt;=2),208,IF(AND(L740="Mittellos und stationär",D745&gt;0,D745&lt;=1),317,""))))))))))))))))))))),"")))*3+(J739*90)</f>
        <v>#NUM!</v>
      </c>
      <c r="M746" s="507" t="str">
        <f>CONCATENATE(K746, K745)</f>
        <v>+Inflat.-P</v>
      </c>
      <c r="N746" s="206"/>
      <c r="O746" s="207"/>
      <c r="P746" s="206" t="s">
        <v>118</v>
      </c>
      <c r="Q746" s="226"/>
      <c r="R746" s="189"/>
      <c r="S746" s="203"/>
      <c r="T746" s="203"/>
      <c r="U746" s="204"/>
      <c r="V746" s="192"/>
      <c r="W746" s="203"/>
      <c r="X746" s="203"/>
      <c r="Y746" s="204"/>
      <c r="Z746" s="192"/>
      <c r="AA746" s="209" t="s">
        <v>118</v>
      </c>
      <c r="AB746" s="209" t="s">
        <v>117</v>
      </c>
      <c r="AC746" s="204" t="s">
        <v>26</v>
      </c>
      <c r="AD746" s="192"/>
      <c r="AE746" s="203"/>
      <c r="AF746" s="203"/>
      <c r="AG746" s="204"/>
      <c r="AH746" s="193"/>
      <c r="AI746" s="203"/>
      <c r="AJ746" s="203"/>
      <c r="AK746" s="375"/>
      <c r="AL746" s="348" t="s">
        <v>150</v>
      </c>
      <c r="AM746" s="354"/>
      <c r="AN746" s="354"/>
      <c r="AO746" s="354">
        <f>IF(SUM(P740:P748)=SUM(AA740:AA748), 0, SUM(P740:P748)-SUM(AA740:AA748))</f>
        <v>0</v>
      </c>
      <c r="AP746" s="354"/>
      <c r="AQ746" s="350">
        <f>AM746+AN746+AO746+AP746</f>
        <v>0</v>
      </c>
      <c r="AR746" s="769"/>
      <c r="AS746" s="769"/>
      <c r="AT746" s="769"/>
      <c r="BM746" s="335"/>
    </row>
    <row r="747" spans="1:65" ht="22.25" customHeight="1">
      <c r="A747" s="181">
        <f t="shared" si="250"/>
        <v>45292</v>
      </c>
      <c r="B747" s="486"/>
      <c r="C747" s="489" t="s">
        <v>158</v>
      </c>
      <c r="D747" s="522" t="e">
        <f>D745+1</f>
        <v>#NUM!</v>
      </c>
      <c r="E747" s="211" t="e">
        <f>DATE(YEAR(E746),MONTH(E746),DAY(E746)+1)</f>
        <v>#NUM!</v>
      </c>
      <c r="F747" s="227" t="e">
        <f t="shared" si="258"/>
        <v>#NUM!</v>
      </c>
      <c r="G747" s="228" t="e">
        <f t="shared" si="259"/>
        <v>#NUM!</v>
      </c>
      <c r="H747" s="227" t="e">
        <f t="shared" si="260"/>
        <v>#NUM!</v>
      </c>
      <c r="I747" s="231">
        <f>IF(J746&lt;13,J746,"")</f>
        <v>3</v>
      </c>
      <c r="J747" s="230">
        <f>J748+3</f>
        <v>9</v>
      </c>
      <c r="K747" s="501" t="str">
        <f t="shared" si="251"/>
        <v/>
      </c>
      <c r="L747" s="471"/>
      <c r="M747" s="473" t="e">
        <f ca="1">SUM(J740-E748)&amp;" Tage"</f>
        <v>#NUM!</v>
      </c>
      <c r="N747" s="216"/>
      <c r="O747" s="188"/>
      <c r="P747" s="188"/>
      <c r="Q747" s="217"/>
      <c r="R747" s="189"/>
      <c r="S747" s="190"/>
      <c r="T747" s="190"/>
      <c r="U747" s="191"/>
      <c r="V747" s="192"/>
      <c r="W747" s="190"/>
      <c r="X747" s="190"/>
      <c r="Y747" s="191"/>
      <c r="Z747" s="192"/>
      <c r="AA747" s="190"/>
      <c r="AB747" s="190"/>
      <c r="AC747" s="191"/>
      <c r="AD747" s="192"/>
      <c r="AE747" s="190"/>
      <c r="AF747" s="190"/>
      <c r="AG747" s="191"/>
      <c r="AH747" s="193"/>
      <c r="AI747" s="190"/>
      <c r="AJ747" s="190"/>
      <c r="AK747" s="374"/>
      <c r="AL747" s="348"/>
      <c r="AM747" s="354"/>
      <c r="AN747" s="354"/>
      <c r="AO747" s="354"/>
      <c r="AP747" s="354"/>
      <c r="AQ747" s="350"/>
      <c r="AR747" s="769"/>
      <c r="AS747" s="769"/>
      <c r="AT747" s="769"/>
      <c r="BM747" s="335"/>
    </row>
    <row r="748" spans="1:65" ht="22.25" customHeight="1">
      <c r="A748" s="181">
        <f t="shared" si="250"/>
        <v>45292</v>
      </c>
      <c r="B748" s="485"/>
      <c r="C748" s="490"/>
      <c r="D748" s="521"/>
      <c r="E748" s="218" t="e">
        <f>DATE(YEAR(E747),MONTH(E747)+3,DAY(E747)-1)</f>
        <v>#NUM!</v>
      </c>
      <c r="F748" s="227" t="e">
        <f t="shared" si="258"/>
        <v>#NUM!</v>
      </c>
      <c r="G748" s="228" t="e">
        <f t="shared" si="259"/>
        <v>#NUM!</v>
      </c>
      <c r="H748" s="227" t="e">
        <f t="shared" si="260"/>
        <v>#NUM!</v>
      </c>
      <c r="I748" s="231">
        <f>IF(J745&lt;13,J745,"")</f>
        <v>0</v>
      </c>
      <c r="J748" s="230">
        <f>J746+3</f>
        <v>6</v>
      </c>
      <c r="K748" s="506" t="str">
        <f t="shared" si="251"/>
        <v>+Inflat.-P</v>
      </c>
      <c r="L748" s="508" t="e">
        <f>IF(M739="Stufe A",IF(AND(L740="Auswahl treffen",D747&gt;=0,D747&lt;=1000),J739,IF(AND(L740="Vermögend und ambulant",D747&gt;8,D747&lt;=1000),130,IF(AND(L740="Vermögend und ambulant",D747&gt;4,D747&lt;=8),158,IF(AND(L740="Vermögend und ambulant",D747&gt;2,D747&lt;=4),192,IF(AND(L740="Vermögend und ambulant",D747&gt;1,D747&lt;=2),208,IF(AND(L740="Vermögend und ambulant",D747&gt;0,D747&lt;=1),298,IF(AND(L740="Vermögend und stationär",D747&gt;8,D747&lt;=1000),78,IF(AND(L740="Vermögend und stationär",D747&gt;4,D747&lt;=8),91,IF(AND(L740="Vermögend und stationär",D747&gt;2,D747&lt;=4),140,IF(AND(L740="Vermögend und stationär",D747&gt;1,D747&lt;=2),158,IF(AND(L740="Vermögend und stationär",D747&gt;0,D747&lt;=1),200,IF(AND(L740="Mittellos und ambulant",D747&gt;8,D747&lt;=1000),105,IF(AND(L740="Mittellos und ambulant",D747&gt;4,D747&lt;=8),122,IF(AND(L740="Mittellos und ambulant",D747&gt;2,D747&lt;=4),151,IF(AND(L740="Mittellos und ambulant",D747&gt;1,D747&lt;=2),170,IF(AND(L740="Mittellos und ambulant",D747&gt;0,D747&lt;=1),208,IF(AND(L740="Mittellos und stationär",D747&gt;8,D747&lt;=1000),62,IF(AND(L740="Mittellos und stationär",D747&gt;4,D747&lt;=8),87,IF(AND(L740="Mittellos und stationär",D747&gt;2,D747&lt;=4),124,IF(AND(L740="Mittellos und stationär",D747&gt;1,D747&lt;=2),129,IF(AND(L740="Mittellos und stationär",D747&gt;0,D747&lt;=1),194,""))))))))))))))))))))),IF(M739="Stufe B",IF(AND(L740="Auswahl treffen",D747&gt;=0,D747&lt;=1000),J739,IF(AND(L740="Vermögend und ambulant",D747&gt;8,D747&lt;=1000),161,IF(AND(L740="Vermögend und ambulant",D747&gt;4,D747&lt;=8),196,IF(AND(L740="Vermögend und ambulant",D747&gt;2,D747&lt;=4),238,IF(AND(L740="Vermögend und ambulant",D747&gt;1,D747&lt;=2),258,IF(AND(L740="Vermögend und ambulant",D747&gt;0,D747&lt;=1),370,IF(AND(L740="Vermögend und stationär",D747&gt;8,D747&lt;=1000),96,IF(AND(L740="Vermögend und stationär",D747&gt;4,D747&lt;=8),113,IF(AND(L740="Vermögend und stationär",D747&gt;2,D747&lt;=4),174,IF(AND(L740="Vermögend und stationär",D747&gt;1,D747&lt;=2),196,IF(AND(L740="Vermögend und stationär",D747&gt;0,D747&lt;=1),249,IF(AND(L740="Mittellos und ambulant",D747&gt;8,D747&lt;=1000),130,IF(AND(L740="Mittellos und ambulant",D747&gt;4,D747&lt;=8),151,IF(AND(L740="Mittellos und ambulant",D747&gt;2,D747&lt;=4),188,IF(AND(L740="Mittellos und ambulant",D747&gt;1,D747&lt;=2),211,IF(AND(L740="Mittellos und ambulant",D747&gt;0,D747&lt;=1),258,IF(AND(L740="Mittellos und stationär",D747&gt;8,D747&lt;=1000),78,IF(AND(L740="Mittellos und stationär",D747&gt;4,D747&lt;=8),107,IF(AND(L740="Mittellos und stationär",D747&gt;2,D747&lt;=4),154,IF(AND(L740="Mittellos und stationär",D747&gt;1,D747&lt;=2),158,IF(AND(L740="Mittellos und stationär",D747&gt;0,D747&lt;=1),241,""))))))))))))))))))))),IF(M739="Stufe C",IF(AND(L740="Auswahl treffen",D747&gt;=0,D747&lt;=1000),J739,IF(AND(L740="Vermögend und ambulant",D747&gt;8,D747&lt;=1000),211,IF(AND(L740="Vermögend und ambulant",D747&gt;4,D747&lt;=8),257,IF(AND(L740="Vermögend und ambulant",D747&gt;2,D747&lt;=4),312,IF(AND(L740="Vermögend und ambulant",D747&gt;1,D747&lt;=2),339,IF(AND(L740="Vermögend und ambulant",D747&gt;0,D747&lt;=1),486,IF(AND(L740="Vermögend und stationär",D747&gt;8,D747&lt;=1000),127,IF(AND(L740="Vermögend und stationär",D747&gt;4,D747&lt;=8),149,IF(AND(L740="Vermögend und stationär",D747&gt;2,D747&lt;=4),229,IF(AND(L740="Vermögend und stationär",D747&gt;1,D747&lt;=2),257,IF(AND(L740="Vermögend und stationär",D747&gt;0,D747&lt;=1),327,IF(AND(L740="Mittellos und ambulant",D747&gt;8,D747&lt;=1000),171,IF(AND(L740="Mittellos und ambulant",D747&gt;4,D747&lt;=8),198,IF(AND(L740="Mittellos und ambulant",D747&gt;2,D747&lt;=4),246,IF(AND(L740="Mittellos und ambulant",D747&gt;1,D747&lt;=2),277,IF(AND(L740="Mittellos und ambulant",D747&gt;0,D747&lt;=1),339,IF(AND(L740="Mittellos und stationär",D747&gt;8,D747&lt;=1000),102,IF(AND(L740="Mittellos und stationär",D747&gt;4,D747&lt;=8),141,IF(AND(L740="Mittellos und stationär",D747&gt;2,D747&lt;=4),202,IF(AND(L740="Mittellos und stationär",D747&gt;1,D747&lt;=2),208,IF(AND(L740="Mittellos und stationär",D747&gt;0,D747&lt;=1),317,""))))))))))))))))))))),"")))*3+(J739*90)</f>
        <v>#NUM!</v>
      </c>
      <c r="M748" s="507" t="str">
        <f>CONCATENATE(K748, K747)</f>
        <v>+Inflat.-P</v>
      </c>
      <c r="N748" s="216"/>
      <c r="O748" s="188"/>
      <c r="P748" s="188"/>
      <c r="Q748" s="217" t="s">
        <v>118</v>
      </c>
      <c r="R748" s="189"/>
      <c r="S748" s="190"/>
      <c r="T748" s="190"/>
      <c r="U748" s="191"/>
      <c r="V748" s="192"/>
      <c r="W748" s="190"/>
      <c r="X748" s="190"/>
      <c r="Y748" s="191"/>
      <c r="Z748" s="192"/>
      <c r="AA748" s="190"/>
      <c r="AB748" s="190"/>
      <c r="AC748" s="191"/>
      <c r="AD748" s="192"/>
      <c r="AE748" s="190" t="s">
        <v>118</v>
      </c>
      <c r="AF748" s="190" t="s">
        <v>117</v>
      </c>
      <c r="AG748" s="191" t="s">
        <v>26</v>
      </c>
      <c r="AH748" s="193"/>
      <c r="AI748" s="190" t="s">
        <v>118</v>
      </c>
      <c r="AJ748" s="190" t="s">
        <v>117</v>
      </c>
      <c r="AK748" s="374" t="s">
        <v>26</v>
      </c>
      <c r="AL748" s="348" t="s">
        <v>151</v>
      </c>
      <c r="AM748" s="354"/>
      <c r="AN748" s="354"/>
      <c r="AO748" s="354"/>
      <c r="AP748" s="354">
        <f>IF(SUM(Q740:Q748)=SUM(AE740:AE748,AI740:AI748), 0, SUM(Q740:Q748)-SUM(AE740:AE748,AI740:AI748))</f>
        <v>0</v>
      </c>
      <c r="AQ748" s="350">
        <f>AM748+AN748+AO748+AP748</f>
        <v>0</v>
      </c>
      <c r="AR748" s="769"/>
      <c r="AS748" s="769"/>
      <c r="AT748" s="769"/>
      <c r="BM748" s="335"/>
    </row>
    <row r="749" spans="1:65" ht="22" customHeight="1">
      <c r="A749" s="181">
        <f t="shared" si="250"/>
        <v>45292</v>
      </c>
      <c r="B749" s="232" t="s">
        <v>74</v>
      </c>
      <c r="C749" s="233" t="s">
        <v>75</v>
      </c>
      <c r="D749" s="234" t="s">
        <v>76</v>
      </c>
      <c r="E749" s="235" t="s">
        <v>11</v>
      </c>
      <c r="F749" s="235" t="s">
        <v>4</v>
      </c>
      <c r="G749" s="235" t="s">
        <v>5</v>
      </c>
      <c r="H749" s="235" t="s">
        <v>6</v>
      </c>
      <c r="I749" s="236" t="s">
        <v>77</v>
      </c>
      <c r="J749" s="306"/>
      <c r="K749" s="501" t="str">
        <f t="shared" si="251"/>
        <v/>
      </c>
      <c r="L749" s="306" t="str">
        <f>IFERROR(VLOOKUP(B750,'Aktuelle Einnahmen'!A2:J104,10,0),"")</f>
        <v/>
      </c>
      <c r="M749" s="510" t="str">
        <f>M739</f>
        <v>Stufe C</v>
      </c>
      <c r="N749" s="237"/>
      <c r="O749" s="238"/>
      <c r="P749" s="238"/>
      <c r="Q749" s="239"/>
      <c r="R749" s="240"/>
      <c r="S749" s="241"/>
      <c r="T749" s="241"/>
      <c r="U749" s="242"/>
      <c r="V749" s="243"/>
      <c r="W749" s="241"/>
      <c r="X749" s="241"/>
      <c r="Y749" s="242"/>
      <c r="Z749" s="243"/>
      <c r="AA749" s="241"/>
      <c r="AB749" s="241"/>
      <c r="AC749" s="242"/>
      <c r="AD749" s="243"/>
      <c r="AE749" s="241"/>
      <c r="AF749" s="241"/>
      <c r="AG749" s="242"/>
      <c r="AH749" s="240"/>
      <c r="AI749" s="241"/>
      <c r="AJ749" s="241"/>
      <c r="AK749" s="377"/>
      <c r="AL749" s="347"/>
      <c r="AM749" s="353"/>
      <c r="AN749" s="353"/>
      <c r="AO749" s="353"/>
      <c r="AP749" s="353"/>
      <c r="AQ749" s="349"/>
      <c r="AR749" s="768"/>
      <c r="AS749" s="768"/>
      <c r="AT749" s="768"/>
      <c r="BM749" s="335"/>
    </row>
    <row r="750" spans="1:65" ht="23" customHeight="1">
      <c r="A750" s="181">
        <f t="shared" si="250"/>
        <v>45292</v>
      </c>
      <c r="B750" s="182">
        <v>75</v>
      </c>
      <c r="C750" s="245">
        <f>IFERROR(VLOOKUP($B750,'Aktuelle Einnahmen'!A2:G104,3,0),"")</f>
        <v>0</v>
      </c>
      <c r="D750" s="246">
        <f>IFERROR(VLOOKUP($B750,'Aktuelle Einnahmen'!A2:G104,2,0),"")</f>
        <v>0</v>
      </c>
      <c r="E750" s="247">
        <f>IFERROR(VLOOKUP($B750,'Aktuelle Einnahmen'!A2:G104,4,0),"")</f>
        <v>0</v>
      </c>
      <c r="F750" s="94">
        <f>IFERROR(VLOOKUP($B750,'Aktuelle Einnahmen'!A2:G104,5,0),"")</f>
        <v>0</v>
      </c>
      <c r="G750" s="94">
        <f>IFERROR(VLOOKUP($B750,'Aktuelle Einnahmen'!A2:G104,6,0),"")</f>
        <v>0</v>
      </c>
      <c r="H750" s="94">
        <f>IFERROR(VLOOKUP($B750,'Aktuelle Einnahmen'!A2:G104,7,0),"")</f>
        <v>0</v>
      </c>
      <c r="I750" s="186" t="e">
        <f>DATE(H750,G750,F750)</f>
        <v>#NUM!</v>
      </c>
      <c r="J750" s="472">
        <f ca="1">J740</f>
        <v>45475</v>
      </c>
      <c r="K750" s="506" t="str">
        <f t="shared" si="251"/>
        <v>+Inflat.-P</v>
      </c>
      <c r="L750" s="1262" t="str">
        <f>IFERROR(VLOOKUP(B750,'Aktuelle Einnahmen'!A22:I124,9,0),"")</f>
        <v>Auswahl treffen</v>
      </c>
      <c r="M750" s="1263"/>
      <c r="N750" s="261"/>
      <c r="O750" s="261"/>
      <c r="P750" s="261"/>
      <c r="Q750" s="261"/>
      <c r="R750" s="189"/>
      <c r="S750" s="190"/>
      <c r="T750" s="190"/>
      <c r="U750" s="191"/>
      <c r="V750" s="192"/>
      <c r="W750" s="190"/>
      <c r="X750" s="190"/>
      <c r="Y750" s="191"/>
      <c r="Z750" s="192"/>
      <c r="AA750" s="190"/>
      <c r="AB750" s="190"/>
      <c r="AC750" s="191"/>
      <c r="AD750" s="192"/>
      <c r="AE750" s="190"/>
      <c r="AF750" s="190"/>
      <c r="AG750" s="191"/>
      <c r="AH750" s="193"/>
      <c r="AI750" s="190"/>
      <c r="AJ750" s="190"/>
      <c r="AK750" s="374"/>
      <c r="AL750" s="348"/>
      <c r="AM750" s="354"/>
      <c r="AN750" s="354"/>
      <c r="AO750" s="354"/>
      <c r="AP750" s="354"/>
      <c r="AQ750" s="350"/>
      <c r="AR750" s="769"/>
      <c r="AS750" s="769"/>
      <c r="AT750" s="769"/>
      <c r="BM750" s="335"/>
    </row>
    <row r="751" spans="1:65" ht="22.25" customHeight="1">
      <c r="A751" s="181">
        <f t="shared" si="250"/>
        <v>45292</v>
      </c>
      <c r="B751" s="484" t="e">
        <f>DAY(I750)</f>
        <v>#NUM!</v>
      </c>
      <c r="C751" s="489" t="s">
        <v>158</v>
      </c>
      <c r="D751" s="520" t="e">
        <f>(I751*4)+J751/3+1</f>
        <v>#NUM!</v>
      </c>
      <c r="E751" s="194" t="e">
        <f>J753+1</f>
        <v>#NUM!</v>
      </c>
      <c r="F751" s="195" t="e">
        <f t="shared" ref="F751:F758" si="261">DAY(E751)</f>
        <v>#NUM!</v>
      </c>
      <c r="G751" s="196" t="e">
        <f t="shared" ref="G751:G758" si="262">MONTH(E751)</f>
        <v>#NUM!</v>
      </c>
      <c r="H751" s="195" t="e">
        <f t="shared" ref="H751:H758" si="263">YEAR(E751)</f>
        <v>#NUM!</v>
      </c>
      <c r="I751" s="197" t="e">
        <f>H751-(H750+2000)</f>
        <v>#NUM!</v>
      </c>
      <c r="J751" s="198" t="e">
        <f>G751-G750</f>
        <v>#NUM!</v>
      </c>
      <c r="K751" s="506" t="str">
        <f>L749</f>
        <v/>
      </c>
      <c r="L751" s="469"/>
      <c r="M751" s="473" t="e">
        <f ca="1">SUM(J750-E752)&amp;" Tage"</f>
        <v>#NUM!</v>
      </c>
      <c r="N751" s="206"/>
      <c r="O751" s="201"/>
      <c r="P751" s="201"/>
      <c r="Q751" s="202"/>
      <c r="R751" s="189"/>
      <c r="S751" s="203"/>
      <c r="T751" s="203"/>
      <c r="U751" s="204"/>
      <c r="V751" s="192"/>
      <c r="W751" s="203"/>
      <c r="X751" s="203"/>
      <c r="Y751" s="204"/>
      <c r="Z751" s="192"/>
      <c r="AA751" s="203"/>
      <c r="AB751" s="203"/>
      <c r="AC751" s="204"/>
      <c r="AD751" s="192"/>
      <c r="AE751" s="203"/>
      <c r="AF751" s="203"/>
      <c r="AG751" s="204"/>
      <c r="AH751" s="193"/>
      <c r="AI751" s="203"/>
      <c r="AJ751" s="203"/>
      <c r="AK751" s="375"/>
      <c r="AL751" s="348"/>
      <c r="AM751" s="354"/>
      <c r="AN751" s="354"/>
      <c r="AO751" s="354"/>
      <c r="AP751" s="354"/>
      <c r="AQ751" s="350"/>
      <c r="AR751" s="769"/>
      <c r="AS751" s="769"/>
      <c r="AT751" s="769"/>
      <c r="BM751" s="335"/>
    </row>
    <row r="752" spans="1:65" ht="22.25" customHeight="1">
      <c r="A752" s="181">
        <f t="shared" si="250"/>
        <v>45292</v>
      </c>
      <c r="B752" s="485"/>
      <c r="C752" s="490"/>
      <c r="D752" s="521"/>
      <c r="E752" s="194" t="e">
        <f>DATE(YEAR(E751),MONTH(E751)+3,DAY(E751)-1)</f>
        <v>#NUM!</v>
      </c>
      <c r="F752" s="195" t="e">
        <f t="shared" si="261"/>
        <v>#NUM!</v>
      </c>
      <c r="G752" s="196" t="e">
        <f t="shared" si="262"/>
        <v>#NUM!</v>
      </c>
      <c r="H752" s="195" t="e">
        <f t="shared" si="263"/>
        <v>#NUM!</v>
      </c>
      <c r="I752" s="244">
        <v>-1</v>
      </c>
      <c r="J752" s="198" t="e">
        <f>F751-F750</f>
        <v>#NUM!</v>
      </c>
      <c r="K752" s="506" t="str">
        <f t="shared" si="251"/>
        <v>+Inflat.-P</v>
      </c>
      <c r="L752" s="511" t="e">
        <f>IF(M749="Stufe A",IF(AND(L750="Auswahl treffen",D751&gt;=0,D751&lt;=1000),J749,IF(AND(L750="Vermögend und ambulant",D751&gt;8,D751&lt;=1000),130,IF(AND(L750="Vermögend und ambulant",D751&gt;4,D751&lt;=8),158,IF(AND(L750="Vermögend und ambulant",D751&gt;2,D751&lt;=4),192,IF(AND(L750="Vermögend und ambulant",D751&gt;1,D751&lt;=2),208,IF(AND(L750="Vermögend und ambulant",D751&gt;0,D751&lt;=1),298,IF(AND(L750="Vermögend und stationär",D751&gt;8,D751&lt;=1000),78,IF(AND(L750="Vermögend und stationär",D751&gt;4,D751&lt;=8),91,IF(AND(L750="Vermögend und stationär",D751&gt;2,D751&lt;=4),140,IF(AND(L750="Vermögend und stationär",D751&gt;1,D751&lt;=2),158,IF(AND(L750="Vermögend und stationär",D751&gt;0,D751&lt;=1),200,IF(AND(L750="Mittellos und ambulant",D751&gt;8,D751&lt;=1000),105,IF(AND(L750="Mittellos und ambulant",D751&gt;4,D751&lt;=8),122,IF(AND(L750="Mittellos und ambulant",D751&gt;2,D751&lt;=4),151,IF(AND(L750="Mittellos und ambulant",D751&gt;1,D751&lt;=2),170,IF(AND(L750="Mittellos und ambulant",D751&gt;0,D751&lt;=1),208,IF(AND(L750="Mittellos und stationär",D751&gt;8,D751&lt;=1000),62,IF(AND(L750="Mittellos und stationär",D751&gt;4,D751&lt;=8),87,IF(AND(L750="Mittellos und stationär",D751&gt;2,D751&lt;=4),124,IF(AND(L750="Mittellos und stationär",D751&gt;1,D751&lt;=2),129,IF(AND(L750="Mittellos und stationär",D751&gt;0,D751&lt;=1),194,""))))))))))))))))))))),IF(M749="Stufe B",IF(AND(L750="Auswahl treffen",D751&gt;=0,D751&lt;=1000),J749,IF(AND(L750="Vermögend und ambulant",D751&gt;8,D751&lt;=1000),161,IF(AND(L750="Vermögend und ambulant",D751&gt;4,D751&lt;=8),196,IF(AND(L750="Vermögend und ambulant",D751&gt;2,D751&lt;=4),238,IF(AND(L750="Vermögend und ambulant",D751&gt;1,D751&lt;=2),258,IF(AND(L750="Vermögend und ambulant",D751&gt;0,D751&lt;=1),370,IF(AND(L750="Vermögend und stationär",D751&gt;8,D751&lt;=1000),96,IF(AND(L750="Vermögend und stationär",D751&gt;4,D751&lt;=8),113,IF(AND(L750="Vermögend und stationär",D751&gt;2,D751&lt;=4),174,IF(AND(L750="Vermögend und stationär",D751&gt;1,D751&lt;=2),196,IF(AND(L750="Vermögend und stationär",D751&gt;0,D751&lt;=1),249,IF(AND(L750="Mittellos und ambulant",D751&gt;8,D751&lt;=1000),130,IF(AND(L750="Mittellos und ambulant",D751&gt;4,D751&lt;=8),151,IF(AND(L750="Mittellos und ambulant",D751&gt;2,D751&lt;=4),188,IF(AND(L750="Mittellos und ambulant",D751&gt;1,D751&lt;=2),211,IF(AND(L750="Mittellos und ambulant",D751&gt;0,D751&lt;=1),258,IF(AND(L750="Mittellos und stationär",D751&gt;8,D751&lt;=1000),78,IF(AND(L750="Mittellos und stationär",D751&gt;4,D751&lt;=8),107,IF(AND(L750="Mittellos und stationär",D751&gt;2,D751&lt;=4),154,IF(AND(L750="Mittellos und stationär",D751&gt;1,D751&lt;=2),158,IF(AND(L750="Mittellos und stationär",D751&gt;0,D751&lt;=1),241,""))))))))))))))))))))),IF(M749="Stufe C",IF(AND(L750="Auswahl treffen",D751&gt;=0,D751&lt;=1000),J749,IF(AND(L750="Vermögend und ambulant",D751&gt;8,D751&lt;=1000),211,IF(AND(L750="Vermögend und ambulant",D751&gt;4,D751&lt;=8),257,IF(AND(L750="Vermögend und ambulant",D751&gt;2,D751&lt;=4),312,IF(AND(L750="Vermögend und ambulant",D751&gt;1,D751&lt;=2),339,IF(AND(L750="Vermögend und ambulant",D751&gt;0,D751&lt;=1),486,IF(AND(L750="Vermögend und stationär",D751&gt;8,D751&lt;=1000),127,IF(AND(L750="Vermögend und stationär",D751&gt;4,D751&lt;=8),149,IF(AND(L750="Vermögend und stationär",D751&gt;2,D751&lt;=4),229,IF(AND(L750="Vermögend und stationär",D751&gt;1,D751&lt;=2),257,IF(AND(L750="Vermögend und stationär",D751&gt;0,D751&lt;=1),327,IF(AND(L750="Mittellos und ambulant",D751&gt;8,D751&lt;=1000),171,IF(AND(L750="Mittellos und ambulant",D751&gt;4,D751&lt;=8),198,IF(AND(L750="Mittellos und ambulant",D751&gt;2,D751&lt;=4),246,IF(AND(L750="Mittellos und ambulant",D751&gt;1,D751&lt;=2),277,IF(AND(L750="Mittellos und ambulant",D751&gt;0,D751&lt;=1),339,IF(AND(L750="Mittellos und stationär",D751&gt;8,D751&lt;=1000),102,IF(AND(L750="Mittellos und stationär",D751&gt;4,D751&lt;=8),141,IF(AND(L750="Mittellos und stationär",D751&gt;2,D751&lt;=4),202,IF(AND(L750="Mittellos und stationär",D751&gt;1,D751&lt;=2),208,IF(AND(L750="Mittellos und stationär",D751&gt;0,D751&lt;=1),317,""))))))))))))))))))))),"")))*3+(J749*90)</f>
        <v>#NUM!</v>
      </c>
      <c r="M752" s="507" t="str">
        <f>CONCATENATE(K752, K751)</f>
        <v>+Inflat.-P</v>
      </c>
      <c r="N752" s="206" t="s">
        <v>118</v>
      </c>
      <c r="O752" s="207"/>
      <c r="P752" s="207"/>
      <c r="Q752" s="208"/>
      <c r="R752" s="187"/>
      <c r="S752" s="209" t="s">
        <v>118</v>
      </c>
      <c r="T752" s="201" t="s">
        <v>117</v>
      </c>
      <c r="U752" s="210" t="s">
        <v>26</v>
      </c>
      <c r="V752" s="192"/>
      <c r="W752" s="203"/>
      <c r="X752" s="203"/>
      <c r="Y752" s="210"/>
      <c r="Z752" s="192"/>
      <c r="AA752" s="203"/>
      <c r="AB752" s="203"/>
      <c r="AC752" s="210"/>
      <c r="AD752" s="192"/>
      <c r="AE752" s="203"/>
      <c r="AF752" s="203"/>
      <c r="AG752" s="210"/>
      <c r="AH752" s="193"/>
      <c r="AI752" s="203"/>
      <c r="AJ752" s="203"/>
      <c r="AK752" s="376"/>
      <c r="AL752" s="348" t="s">
        <v>148</v>
      </c>
      <c r="AM752" s="354">
        <f>IF(SUM(N750:N758)=SUM(S750:S758), 0, SUM(N750:N758)-SUM(S750:S758))</f>
        <v>0</v>
      </c>
      <c r="AN752" s="354"/>
      <c r="AO752" s="354"/>
      <c r="AP752" s="354"/>
      <c r="AQ752" s="350">
        <f>AM752+AN752+AO752+AP752</f>
        <v>0</v>
      </c>
      <c r="AR752" s="769"/>
      <c r="AS752" s="769"/>
      <c r="AT752" s="769"/>
      <c r="BM752" s="335"/>
    </row>
    <row r="753" spans="1:65" ht="22.25" customHeight="1">
      <c r="A753" s="181">
        <f t="shared" si="250"/>
        <v>45292</v>
      </c>
      <c r="B753" s="484" t="e">
        <f>MONTH(I750)</f>
        <v>#NUM!</v>
      </c>
      <c r="C753" s="489" t="s">
        <v>158</v>
      </c>
      <c r="D753" s="522" t="e">
        <f>D751+1</f>
        <v>#NUM!</v>
      </c>
      <c r="E753" s="211" t="e">
        <f>DATE(YEAR(E752),MONTH(E752),DAY(E752)+1)</f>
        <v>#NUM!</v>
      </c>
      <c r="F753" s="212" t="e">
        <f t="shared" si="261"/>
        <v>#NUM!</v>
      </c>
      <c r="G753" s="213" t="e">
        <f t="shared" si="262"/>
        <v>#NUM!</v>
      </c>
      <c r="H753" s="212" t="e">
        <f t="shared" si="263"/>
        <v>#NUM!</v>
      </c>
      <c r="I753" s="214" t="str">
        <f>IF(D750&lt;&gt;0,"-1T","")</f>
        <v/>
      </c>
      <c r="J753" s="215" t="e">
        <f>DATE($B755,I754,$B751)</f>
        <v>#NUM!</v>
      </c>
      <c r="K753" s="501" t="str">
        <f t="shared" si="251"/>
        <v/>
      </c>
      <c r="L753" s="470"/>
      <c r="M753" s="473" t="e">
        <f ca="1">SUM(J750-E754)&amp;" Tage"</f>
        <v>#NUM!</v>
      </c>
      <c r="N753" s="216"/>
      <c r="O753" s="217"/>
      <c r="P753" s="188"/>
      <c r="Q753" s="217"/>
      <c r="R753" s="189"/>
      <c r="S753" s="190"/>
      <c r="T753" s="190"/>
      <c r="U753" s="191"/>
      <c r="V753" s="192"/>
      <c r="W753" s="190"/>
      <c r="X753" s="190"/>
      <c r="Y753" s="191"/>
      <c r="Z753" s="192"/>
      <c r="AA753" s="190"/>
      <c r="AB753" s="190"/>
      <c r="AC753" s="191"/>
      <c r="AD753" s="192"/>
      <c r="AE753" s="190"/>
      <c r="AF753" s="190"/>
      <c r="AG753" s="191"/>
      <c r="AH753" s="193"/>
      <c r="AI753" s="190"/>
      <c r="AJ753" s="190"/>
      <c r="AK753" s="374"/>
      <c r="AL753" s="348"/>
      <c r="AM753" s="354"/>
      <c r="AN753" s="354"/>
      <c r="AO753" s="354"/>
      <c r="AP753" s="354"/>
      <c r="AQ753" s="350"/>
      <c r="AR753" s="769"/>
      <c r="AS753" s="769"/>
      <c r="AT753" s="769"/>
      <c r="BM753" s="335"/>
    </row>
    <row r="754" spans="1:65" ht="22.25" customHeight="1">
      <c r="A754" s="181">
        <f t="shared" si="250"/>
        <v>45292</v>
      </c>
      <c r="B754" s="485"/>
      <c r="C754" s="490"/>
      <c r="D754" s="521"/>
      <c r="E754" s="218" t="e">
        <f>DATE(YEAR(E753),MONTH(E753)+3,DAY(E753)-1)</f>
        <v>#NUM!</v>
      </c>
      <c r="F754" s="212" t="e">
        <f t="shared" si="261"/>
        <v>#NUM!</v>
      </c>
      <c r="G754" s="213" t="e">
        <f t="shared" si="262"/>
        <v>#NUM!</v>
      </c>
      <c r="H754" s="212" t="e">
        <f t="shared" si="263"/>
        <v>#NUM!</v>
      </c>
      <c r="I754" s="219">
        <f>MAX(I755:I758)</f>
        <v>9</v>
      </c>
      <c r="J754" s="220" t="e">
        <f>DATE(YEAR(J753)+1,MONTH(J753),DAY(J753))</f>
        <v>#NUM!</v>
      </c>
      <c r="K754" s="501" t="str">
        <f t="shared" si="251"/>
        <v>+Inflat.-P</v>
      </c>
      <c r="L754" s="508" t="e">
        <f>IF(M749="Stufe A",IF(AND(L750="Auswahl treffen",D753&gt;=0,D753&lt;=1000),J749,IF(AND(L750="Vermögend und ambulant",D753&gt;8,D753&lt;=1000),130,IF(AND(L750="Vermögend und ambulant",D753&gt;4,D753&lt;=8),158,IF(AND(L750="Vermögend und ambulant",D753&gt;2,D753&lt;=4),192,IF(AND(L750="Vermögend und ambulant",D753&gt;1,D753&lt;=2),208,IF(AND(L750="Vermögend und ambulant",D753&gt;0,D753&lt;=1),298,IF(AND(L750="Vermögend und stationär",D753&gt;8,D753&lt;=1000),78,IF(AND(L750="Vermögend und stationär",D753&gt;4,D753&lt;=8),91,IF(AND(L750="Vermögend und stationär",D753&gt;2,D753&lt;=4),140,IF(AND(L750="Vermögend und stationär",D753&gt;1,D753&lt;=2),158,IF(AND(L750="Vermögend und stationär",D753&gt;0,D753&lt;=1),200,IF(AND(L750="Mittellos und ambulant",D753&gt;8,D753&lt;=1000),105,IF(AND(L750="Mittellos und ambulant",D753&gt;4,D753&lt;=8),122,IF(AND(L750="Mittellos und ambulant",D753&gt;2,D753&lt;=4),151,IF(AND(L750="Mittellos und ambulant",D753&gt;1,D753&lt;=2),170,IF(AND(L750="Mittellos und ambulant",D753&gt;0,D753&lt;=1),208,IF(AND(L750="Mittellos und stationär",D753&gt;8,D753&lt;=1000),62,IF(AND(L750="Mittellos und stationär",D753&gt;4,D753&lt;=8),87,IF(AND(L750="Mittellos und stationär",D753&gt;2,D753&lt;=4),124,IF(AND(L750="Mittellos und stationär",D753&gt;1,D753&lt;=2),129,IF(AND(L750="Mittellos und stationär",D753&gt;0,D753&lt;=1),194,""))))))))))))))))))))),IF(M749="Stufe B",IF(AND(L750="Auswahl treffen",D753&gt;=0,D753&lt;=1000),J749,IF(AND(L750="Vermögend und ambulant",D753&gt;8,D753&lt;=1000),161,IF(AND(L750="Vermögend und ambulant",D753&gt;4,D753&lt;=8),196,IF(AND(L750="Vermögend und ambulant",D753&gt;2,D753&lt;=4),238,IF(AND(L750="Vermögend und ambulant",D753&gt;1,D753&lt;=2),258,IF(AND(L750="Vermögend und ambulant",D753&gt;0,D753&lt;=1),370,IF(AND(L750="Vermögend und stationär",D753&gt;8,D753&lt;=1000),96,IF(AND(L750="Vermögend und stationär",D753&gt;4,D753&lt;=8),113,IF(AND(L750="Vermögend und stationär",D753&gt;2,D753&lt;=4),174,IF(AND(L750="Vermögend und stationär",D753&gt;1,D753&lt;=2),196,IF(AND(L750="Vermögend und stationär",D753&gt;0,D753&lt;=1),249,IF(AND(L750="Mittellos und ambulant",D753&gt;8,D753&lt;=1000),130,IF(AND(L750="Mittellos und ambulant",D753&gt;4,D753&lt;=8),151,IF(AND(L750="Mittellos und ambulant",D753&gt;2,D753&lt;=4),188,IF(AND(L750="Mittellos und ambulant",D753&gt;1,D753&lt;=2),211,IF(AND(L750="Mittellos und ambulant",D753&gt;0,D753&lt;=1),258,IF(AND(L750="Mittellos und stationär",D753&gt;8,D753&lt;=1000),78,IF(AND(L750="Mittellos und stationär",D753&gt;4,D753&lt;=8),107,IF(AND(L750="Mittellos und stationär",D753&gt;2,D753&lt;=4),154,IF(AND(L750="Mittellos und stationär",D753&gt;1,D753&lt;=2),158,IF(AND(L750="Mittellos und stationär",D753&gt;0,D753&lt;=1),241,""))))))))))))))))))))),IF(M749="Stufe C",IF(AND(L750="Auswahl treffen",D753&gt;=0,D753&lt;=1000),J749,IF(AND(L750="Vermögend und ambulant",D753&gt;8,D753&lt;=1000),211,IF(AND(L750="Vermögend und ambulant",D753&gt;4,D753&lt;=8),257,IF(AND(L750="Vermögend und ambulant",D753&gt;2,D753&lt;=4),312,IF(AND(L750="Vermögend und ambulant",D753&gt;1,D753&lt;=2),339,IF(AND(L750="Vermögend und ambulant",D753&gt;0,D753&lt;=1),486,IF(AND(L750="Vermögend und stationär",D753&gt;8,D753&lt;=1000),127,IF(AND(L750="Vermögend und stationär",D753&gt;4,D753&lt;=8),149,IF(AND(L750="Vermögend und stationär",D753&gt;2,D753&lt;=4),229,IF(AND(L750="Vermögend und stationär",D753&gt;1,D753&lt;=2),257,IF(AND(L750="Vermögend und stationär",D753&gt;0,D753&lt;=1),327,IF(AND(L750="Mittellos und ambulant",D753&gt;8,D753&lt;=1000),171,IF(AND(L750="Mittellos und ambulant",D753&gt;4,D753&lt;=8),198,IF(AND(L750="Mittellos und ambulant",D753&gt;2,D753&lt;=4),246,IF(AND(L750="Mittellos und ambulant",D753&gt;1,D753&lt;=2),277,IF(AND(L750="Mittellos und ambulant",D753&gt;0,D753&lt;=1),339,IF(AND(L750="Mittellos und stationär",D753&gt;8,D753&lt;=1000),102,IF(AND(L750="Mittellos und stationär",D753&gt;4,D753&lt;=8),141,IF(AND(L750="Mittellos und stationär",D753&gt;2,D753&lt;=4),202,IF(AND(L750="Mittellos und stationär",D753&gt;1,D753&lt;=2),208,IF(AND(L750="Mittellos und stationär",D753&gt;0,D753&lt;=1),317,""))))))))))))))))))))),"")))*3+(J749*90)</f>
        <v>#NUM!</v>
      </c>
      <c r="M754" s="507" t="str">
        <f>CONCATENATE(K754, K753)</f>
        <v>+Inflat.-P</v>
      </c>
      <c r="N754" s="216"/>
      <c r="O754" s="188" t="s">
        <v>118</v>
      </c>
      <c r="P754" s="188"/>
      <c r="Q754" s="221"/>
      <c r="R754" s="199"/>
      <c r="S754" s="190"/>
      <c r="T754" s="190"/>
      <c r="U754" s="191"/>
      <c r="V754" s="192"/>
      <c r="W754" s="222" t="s">
        <v>118</v>
      </c>
      <c r="X754" s="222" t="s">
        <v>117</v>
      </c>
      <c r="Y754" s="191" t="s">
        <v>26</v>
      </c>
      <c r="Z754" s="192"/>
      <c r="AA754" s="190"/>
      <c r="AB754" s="190"/>
      <c r="AC754" s="191"/>
      <c r="AD754" s="192"/>
      <c r="AE754" s="190"/>
      <c r="AF754" s="190"/>
      <c r="AG754" s="191"/>
      <c r="AH754" s="193"/>
      <c r="AI754" s="190"/>
      <c r="AJ754" s="190"/>
      <c r="AK754" s="374"/>
      <c r="AL754" s="348" t="s">
        <v>149</v>
      </c>
      <c r="AM754" s="354"/>
      <c r="AN754" s="354">
        <f>IF(SUM(O750:O758)=SUM(W750:W758), 0, SUM(O750:O758)-SUM(W750:W758))</f>
        <v>0</v>
      </c>
      <c r="AO754" s="354"/>
      <c r="AP754" s="354"/>
      <c r="AQ754" s="350">
        <f>AM754+AN754+AO754+AP754</f>
        <v>0</v>
      </c>
      <c r="AR754" s="769"/>
      <c r="AS754" s="769"/>
      <c r="AT754" s="769"/>
      <c r="BM754" s="335"/>
    </row>
    <row r="755" spans="1:65" ht="22.25" customHeight="1">
      <c r="A755" s="181">
        <f t="shared" si="250"/>
        <v>45292</v>
      </c>
      <c r="B755" s="484">
        <f>YEAR($A756)-1</f>
        <v>2023</v>
      </c>
      <c r="C755" s="489" t="s">
        <v>158</v>
      </c>
      <c r="D755" s="520" t="e">
        <f>D753+1</f>
        <v>#NUM!</v>
      </c>
      <c r="E755" s="194" t="e">
        <f>DATE(YEAR(E754),MONTH(E754),DAY(E754)+1)</f>
        <v>#NUM!</v>
      </c>
      <c r="F755" s="195" t="e">
        <f t="shared" si="261"/>
        <v>#NUM!</v>
      </c>
      <c r="G755" s="196" t="e">
        <f t="shared" si="262"/>
        <v>#NUM!</v>
      </c>
      <c r="H755" s="195" t="e">
        <f t="shared" si="263"/>
        <v>#NUM!</v>
      </c>
      <c r="I755" s="197">
        <f>IF(J757&lt;13,J757,"")</f>
        <v>9</v>
      </c>
      <c r="J755" s="224">
        <f>G750</f>
        <v>0</v>
      </c>
      <c r="K755" s="506" t="str">
        <f t="shared" si="251"/>
        <v/>
      </c>
      <c r="L755" s="471"/>
      <c r="M755" s="473" t="e">
        <f ca="1">SUM(J750-E756)&amp;" Tage"</f>
        <v>#NUM!</v>
      </c>
      <c r="N755" s="200"/>
      <c r="O755" s="201"/>
      <c r="P755" s="201"/>
      <c r="Q755" s="202"/>
      <c r="R755" s="189"/>
      <c r="S755" s="203"/>
      <c r="T755" s="203"/>
      <c r="U755" s="204"/>
      <c r="V755" s="192"/>
      <c r="W755" s="203"/>
      <c r="X755" s="203"/>
      <c r="Y755" s="204"/>
      <c r="Z755" s="192"/>
      <c r="AA755" s="203"/>
      <c r="AB755" s="203"/>
      <c r="AC755" s="204"/>
      <c r="AD755" s="192"/>
      <c r="AE755" s="203"/>
      <c r="AF755" s="203"/>
      <c r="AG755" s="204"/>
      <c r="AH755" s="193"/>
      <c r="AI755" s="203"/>
      <c r="AJ755" s="203"/>
      <c r="AK755" s="375"/>
      <c r="AL755" s="348"/>
      <c r="AM755" s="354"/>
      <c r="AN755" s="354"/>
      <c r="AO755" s="354"/>
      <c r="AP755" s="354"/>
      <c r="AQ755" s="350"/>
      <c r="AR755" s="769"/>
      <c r="AS755" s="769"/>
      <c r="AT755" s="769"/>
      <c r="BM755" s="335"/>
    </row>
    <row r="756" spans="1:65" ht="22.25" customHeight="1">
      <c r="A756" s="181">
        <f t="shared" si="250"/>
        <v>45292</v>
      </c>
      <c r="B756" s="485"/>
      <c r="C756" s="490"/>
      <c r="D756" s="521"/>
      <c r="E756" s="194" t="e">
        <f>DATE(YEAR(E755),MONTH(E755)+3,DAY(E755)-1)</f>
        <v>#NUM!</v>
      </c>
      <c r="F756" s="195" t="e">
        <f t="shared" si="261"/>
        <v>#NUM!</v>
      </c>
      <c r="G756" s="196" t="e">
        <f t="shared" si="262"/>
        <v>#NUM!</v>
      </c>
      <c r="H756" s="195" t="e">
        <f t="shared" si="263"/>
        <v>#NUM!</v>
      </c>
      <c r="I756" s="244">
        <f>IF(J758&lt;13,J758,"")</f>
        <v>6</v>
      </c>
      <c r="J756" s="224">
        <f>J755+3</f>
        <v>3</v>
      </c>
      <c r="K756" s="501" t="str">
        <f t="shared" si="251"/>
        <v>+Inflat.-P</v>
      </c>
      <c r="L756" s="511" t="e">
        <f>IF(M749="Stufe A",IF(AND(L750="Auswahl treffen",D755&gt;=0,D755&lt;=1000),J749,IF(AND(L750="Vermögend und ambulant",D755&gt;8,D755&lt;=1000),130,IF(AND(L750="Vermögend und ambulant",D755&gt;4,D755&lt;=8),158,IF(AND(L750="Vermögend und ambulant",D755&gt;2,D755&lt;=4),192,IF(AND(L750="Vermögend und ambulant",D755&gt;1,D755&lt;=2),208,IF(AND(L750="Vermögend und ambulant",D755&gt;0,D755&lt;=1),298,IF(AND(L750="Vermögend und stationär",D755&gt;8,D755&lt;=1000),78,IF(AND(L750="Vermögend und stationär",D755&gt;4,D755&lt;=8),91,IF(AND(L750="Vermögend und stationär",D755&gt;2,D755&lt;=4),140,IF(AND(L750="Vermögend und stationär",D755&gt;1,D755&lt;=2),158,IF(AND(L750="Vermögend und stationär",D755&gt;0,D755&lt;=1),200,IF(AND(L750="Mittellos und ambulant",D755&gt;8,D755&lt;=1000),105,IF(AND(L750="Mittellos und ambulant",D755&gt;4,D755&lt;=8),122,IF(AND(L750="Mittellos und ambulant",D755&gt;2,D755&lt;=4),151,IF(AND(L750="Mittellos und ambulant",D755&gt;1,D755&lt;=2),170,IF(AND(L750="Mittellos und ambulant",D755&gt;0,D755&lt;=1),208,IF(AND(L750="Mittellos und stationär",D755&gt;8,D755&lt;=1000),62,IF(AND(L750="Mittellos und stationär",D755&gt;4,D755&lt;=8),87,IF(AND(L750="Mittellos und stationär",D755&gt;2,D755&lt;=4),124,IF(AND(L750="Mittellos und stationär",D755&gt;1,D755&lt;=2),129,IF(AND(L750="Mittellos und stationär",D755&gt;0,D755&lt;=1),194,""))))))))))))))))))))),IF(M749="Stufe B",IF(AND(L750="Auswahl treffen",D755&gt;=0,D755&lt;=1000),J749,IF(AND(L750="Vermögend und ambulant",D755&gt;8,D755&lt;=1000),161,IF(AND(L750="Vermögend und ambulant",D755&gt;4,D755&lt;=8),196,IF(AND(L750="Vermögend und ambulant",D755&gt;2,D755&lt;=4),238,IF(AND(L750="Vermögend und ambulant",D755&gt;1,D755&lt;=2),258,IF(AND(L750="Vermögend und ambulant",D755&gt;0,D755&lt;=1),370,IF(AND(L750="Vermögend und stationär",D755&gt;8,D755&lt;=1000),96,IF(AND(L750="Vermögend und stationär",D755&gt;4,D755&lt;=8),113,IF(AND(L750="Vermögend und stationär",D755&gt;2,D755&lt;=4),174,IF(AND(L750="Vermögend und stationär",D755&gt;1,D755&lt;=2),196,IF(AND(L750="Vermögend und stationär",D755&gt;0,D755&lt;=1),249,IF(AND(L750="Mittellos und ambulant",D755&gt;8,D755&lt;=1000),130,IF(AND(L750="Mittellos und ambulant",D755&gt;4,D755&lt;=8),151,IF(AND(L750="Mittellos und ambulant",D755&gt;2,D755&lt;=4),188,IF(AND(L750="Mittellos und ambulant",D755&gt;1,D755&lt;=2),211,IF(AND(L750="Mittellos und ambulant",D755&gt;0,D755&lt;=1),258,IF(AND(L750="Mittellos und stationär",D755&gt;8,D755&lt;=1000),78,IF(AND(L750="Mittellos und stationär",D755&gt;4,D755&lt;=8),107,IF(AND(L750="Mittellos und stationär",D755&gt;2,D755&lt;=4),154,IF(AND(L750="Mittellos und stationär",D755&gt;1,D755&lt;=2),158,IF(AND(L750="Mittellos und stationär",D755&gt;0,D755&lt;=1),241,""))))))))))))))))))))),IF(M749="Stufe C",IF(AND(L750="Auswahl treffen",D755&gt;=0,D755&lt;=1000),J749,IF(AND(L750="Vermögend und ambulant",D755&gt;8,D755&lt;=1000),211,IF(AND(L750="Vermögend und ambulant",D755&gt;4,D755&lt;=8),257,IF(AND(L750="Vermögend und ambulant",D755&gt;2,D755&lt;=4),312,IF(AND(L750="Vermögend und ambulant",D755&gt;1,D755&lt;=2),339,IF(AND(L750="Vermögend und ambulant",D755&gt;0,D755&lt;=1),486,IF(AND(L750="Vermögend und stationär",D755&gt;8,D755&lt;=1000),127,IF(AND(L750="Vermögend und stationär",D755&gt;4,D755&lt;=8),149,IF(AND(L750="Vermögend und stationär",D755&gt;2,D755&lt;=4),229,IF(AND(L750="Vermögend und stationär",D755&gt;1,D755&lt;=2),257,IF(AND(L750="Vermögend und stationär",D755&gt;0,D755&lt;=1),327,IF(AND(L750="Mittellos und ambulant",D755&gt;8,D755&lt;=1000),171,IF(AND(L750="Mittellos und ambulant",D755&gt;4,D755&lt;=8),198,IF(AND(L750="Mittellos und ambulant",D755&gt;2,D755&lt;=4),246,IF(AND(L750="Mittellos und ambulant",D755&gt;1,D755&lt;=2),277,IF(AND(L750="Mittellos und ambulant",D755&gt;0,D755&lt;=1),339,IF(AND(L750="Mittellos und stationär",D755&gt;8,D755&lt;=1000),102,IF(AND(L750="Mittellos und stationär",D755&gt;4,D755&lt;=8),141,IF(AND(L750="Mittellos und stationär",D755&gt;2,D755&lt;=4),202,IF(AND(L750="Mittellos und stationär",D755&gt;1,D755&lt;=2),208,IF(AND(L750="Mittellos und stationär",D755&gt;0,D755&lt;=1),317,""))))))))))))))))))))),"")))*3+(J749*90)</f>
        <v>#NUM!</v>
      </c>
      <c r="M756" s="507" t="str">
        <f>CONCATENATE(K756, K755)</f>
        <v>+Inflat.-P</v>
      </c>
      <c r="N756" s="206"/>
      <c r="O756" s="207"/>
      <c r="P756" s="206" t="s">
        <v>118</v>
      </c>
      <c r="Q756" s="226"/>
      <c r="R756" s="189"/>
      <c r="S756" s="203"/>
      <c r="T756" s="203"/>
      <c r="U756" s="204"/>
      <c r="V756" s="192"/>
      <c r="W756" s="203"/>
      <c r="X756" s="203"/>
      <c r="Y756" s="204"/>
      <c r="Z756" s="192"/>
      <c r="AA756" s="209" t="s">
        <v>118</v>
      </c>
      <c r="AB756" s="209" t="s">
        <v>117</v>
      </c>
      <c r="AC756" s="204" t="s">
        <v>26</v>
      </c>
      <c r="AD756" s="192"/>
      <c r="AE756" s="203"/>
      <c r="AF756" s="203"/>
      <c r="AG756" s="204"/>
      <c r="AH756" s="193"/>
      <c r="AI756" s="203"/>
      <c r="AJ756" s="203"/>
      <c r="AK756" s="375"/>
      <c r="AL756" s="348" t="s">
        <v>150</v>
      </c>
      <c r="AM756" s="354"/>
      <c r="AN756" s="354"/>
      <c r="AO756" s="354">
        <f>IF(SUM(P750:P758)=SUM(AA750:AA758), 0, SUM(P750:P758)-SUM(AA750:AA758))</f>
        <v>0</v>
      </c>
      <c r="AP756" s="354"/>
      <c r="AQ756" s="350">
        <f>AM756+AN756+AO756+AP756</f>
        <v>0</v>
      </c>
      <c r="AR756" s="769"/>
      <c r="AS756" s="769"/>
      <c r="AT756" s="769"/>
      <c r="BM756" s="335"/>
    </row>
    <row r="757" spans="1:65" ht="22.25" customHeight="1">
      <c r="A757" s="181">
        <f t="shared" si="250"/>
        <v>45292</v>
      </c>
      <c r="B757" s="486"/>
      <c r="C757" s="489" t="s">
        <v>158</v>
      </c>
      <c r="D757" s="522" t="e">
        <f>D755+1</f>
        <v>#NUM!</v>
      </c>
      <c r="E757" s="211" t="e">
        <f>DATE(YEAR(E756),MONTH(E756),DAY(E756)+1)</f>
        <v>#NUM!</v>
      </c>
      <c r="F757" s="227" t="e">
        <f t="shared" si="261"/>
        <v>#NUM!</v>
      </c>
      <c r="G757" s="228" t="e">
        <f t="shared" si="262"/>
        <v>#NUM!</v>
      </c>
      <c r="H757" s="227" t="e">
        <f t="shared" si="263"/>
        <v>#NUM!</v>
      </c>
      <c r="I757" s="231">
        <f>IF(J756&lt;13,J756,"")</f>
        <v>3</v>
      </c>
      <c r="J757" s="230">
        <f>J758+3</f>
        <v>9</v>
      </c>
      <c r="K757" s="506" t="str">
        <f t="shared" si="251"/>
        <v/>
      </c>
      <c r="L757" s="471"/>
      <c r="M757" s="473" t="e">
        <f ca="1">SUM(J750-E758)&amp;" Tage"</f>
        <v>#NUM!</v>
      </c>
      <c r="N757" s="216"/>
      <c r="O757" s="188"/>
      <c r="P757" s="188"/>
      <c r="Q757" s="217"/>
      <c r="R757" s="189"/>
      <c r="S757" s="190"/>
      <c r="T757" s="190"/>
      <c r="U757" s="191"/>
      <c r="V757" s="192"/>
      <c r="W757" s="190"/>
      <c r="X757" s="190"/>
      <c r="Y757" s="191"/>
      <c r="Z757" s="192"/>
      <c r="AA757" s="190"/>
      <c r="AB757" s="190"/>
      <c r="AC757" s="191"/>
      <c r="AD757" s="192"/>
      <c r="AE757" s="190"/>
      <c r="AF757" s="190"/>
      <c r="AG757" s="191"/>
      <c r="AH757" s="193"/>
      <c r="AI757" s="190"/>
      <c r="AJ757" s="190"/>
      <c r="AK757" s="374"/>
      <c r="AL757" s="348"/>
      <c r="AM757" s="354"/>
      <c r="AN757" s="354"/>
      <c r="AO757" s="354"/>
      <c r="AP757" s="354"/>
      <c r="AQ757" s="350"/>
      <c r="AR757" s="769"/>
      <c r="AS757" s="769"/>
      <c r="AT757" s="769"/>
      <c r="BM757" s="335"/>
    </row>
    <row r="758" spans="1:65" ht="22.25" customHeight="1">
      <c r="A758" s="181">
        <f t="shared" si="250"/>
        <v>45292</v>
      </c>
      <c r="B758" s="485"/>
      <c r="C758" s="490"/>
      <c r="D758" s="521"/>
      <c r="E758" s="218" t="e">
        <f>DATE(YEAR(E757),MONTH(E757)+3,DAY(E757)-1)</f>
        <v>#NUM!</v>
      </c>
      <c r="F758" s="227" t="e">
        <f t="shared" si="261"/>
        <v>#NUM!</v>
      </c>
      <c r="G758" s="228" t="e">
        <f t="shared" si="262"/>
        <v>#NUM!</v>
      </c>
      <c r="H758" s="227" t="e">
        <f t="shared" si="263"/>
        <v>#NUM!</v>
      </c>
      <c r="I758" s="231">
        <f>IF(J755&lt;13,J755,"")</f>
        <v>0</v>
      </c>
      <c r="J758" s="230">
        <f>J756+3</f>
        <v>6</v>
      </c>
      <c r="K758" s="501" t="str">
        <f t="shared" si="251"/>
        <v>+Inflat.-P</v>
      </c>
      <c r="L758" s="508" t="e">
        <f>IF(M749="Stufe A",IF(AND(L750="Auswahl treffen",D757&gt;=0,D757&lt;=1000),J749,IF(AND(L750="Vermögend und ambulant",D757&gt;8,D757&lt;=1000),130,IF(AND(L750="Vermögend und ambulant",D757&gt;4,D757&lt;=8),158,IF(AND(L750="Vermögend und ambulant",D757&gt;2,D757&lt;=4),192,IF(AND(L750="Vermögend und ambulant",D757&gt;1,D757&lt;=2),208,IF(AND(L750="Vermögend und ambulant",D757&gt;0,D757&lt;=1),298,IF(AND(L750="Vermögend und stationär",D757&gt;8,D757&lt;=1000),78,IF(AND(L750="Vermögend und stationär",D757&gt;4,D757&lt;=8),91,IF(AND(L750="Vermögend und stationär",D757&gt;2,D757&lt;=4),140,IF(AND(L750="Vermögend und stationär",D757&gt;1,D757&lt;=2),158,IF(AND(L750="Vermögend und stationär",D757&gt;0,D757&lt;=1),200,IF(AND(L750="Mittellos und ambulant",D757&gt;8,D757&lt;=1000),105,IF(AND(L750="Mittellos und ambulant",D757&gt;4,D757&lt;=8),122,IF(AND(L750="Mittellos und ambulant",D757&gt;2,D757&lt;=4),151,IF(AND(L750="Mittellos und ambulant",D757&gt;1,D757&lt;=2),170,IF(AND(L750="Mittellos und ambulant",D757&gt;0,D757&lt;=1),208,IF(AND(L750="Mittellos und stationär",D757&gt;8,D757&lt;=1000),62,IF(AND(L750="Mittellos und stationär",D757&gt;4,D757&lt;=8),87,IF(AND(L750="Mittellos und stationär",D757&gt;2,D757&lt;=4),124,IF(AND(L750="Mittellos und stationär",D757&gt;1,D757&lt;=2),129,IF(AND(L750="Mittellos und stationär",D757&gt;0,D757&lt;=1),194,""))))))))))))))))))))),IF(M749="Stufe B",IF(AND(L750="Auswahl treffen",D757&gt;=0,D757&lt;=1000),J749,IF(AND(L750="Vermögend und ambulant",D757&gt;8,D757&lt;=1000),161,IF(AND(L750="Vermögend und ambulant",D757&gt;4,D757&lt;=8),196,IF(AND(L750="Vermögend und ambulant",D757&gt;2,D757&lt;=4),238,IF(AND(L750="Vermögend und ambulant",D757&gt;1,D757&lt;=2),258,IF(AND(L750="Vermögend und ambulant",D757&gt;0,D757&lt;=1),370,IF(AND(L750="Vermögend und stationär",D757&gt;8,D757&lt;=1000),96,IF(AND(L750="Vermögend und stationär",D757&gt;4,D757&lt;=8),113,IF(AND(L750="Vermögend und stationär",D757&gt;2,D757&lt;=4),174,IF(AND(L750="Vermögend und stationär",D757&gt;1,D757&lt;=2),196,IF(AND(L750="Vermögend und stationär",D757&gt;0,D757&lt;=1),249,IF(AND(L750="Mittellos und ambulant",D757&gt;8,D757&lt;=1000),130,IF(AND(L750="Mittellos und ambulant",D757&gt;4,D757&lt;=8),151,IF(AND(L750="Mittellos und ambulant",D757&gt;2,D757&lt;=4),188,IF(AND(L750="Mittellos und ambulant",D757&gt;1,D757&lt;=2),211,IF(AND(L750="Mittellos und ambulant",D757&gt;0,D757&lt;=1),258,IF(AND(L750="Mittellos und stationär",D757&gt;8,D757&lt;=1000),78,IF(AND(L750="Mittellos und stationär",D757&gt;4,D757&lt;=8),107,IF(AND(L750="Mittellos und stationär",D757&gt;2,D757&lt;=4),154,IF(AND(L750="Mittellos und stationär",D757&gt;1,D757&lt;=2),158,IF(AND(L750="Mittellos und stationär",D757&gt;0,D757&lt;=1),241,""))))))))))))))))))))),IF(M749="Stufe C",IF(AND(L750="Auswahl treffen",D757&gt;=0,D757&lt;=1000),J749,IF(AND(L750="Vermögend und ambulant",D757&gt;8,D757&lt;=1000),211,IF(AND(L750="Vermögend und ambulant",D757&gt;4,D757&lt;=8),257,IF(AND(L750="Vermögend und ambulant",D757&gt;2,D757&lt;=4),312,IF(AND(L750="Vermögend und ambulant",D757&gt;1,D757&lt;=2),339,IF(AND(L750="Vermögend und ambulant",D757&gt;0,D757&lt;=1),486,IF(AND(L750="Vermögend und stationär",D757&gt;8,D757&lt;=1000),127,IF(AND(L750="Vermögend und stationär",D757&gt;4,D757&lt;=8),149,IF(AND(L750="Vermögend und stationär",D757&gt;2,D757&lt;=4),229,IF(AND(L750="Vermögend und stationär",D757&gt;1,D757&lt;=2),257,IF(AND(L750="Vermögend und stationär",D757&gt;0,D757&lt;=1),327,IF(AND(L750="Mittellos und ambulant",D757&gt;8,D757&lt;=1000),171,IF(AND(L750="Mittellos und ambulant",D757&gt;4,D757&lt;=8),198,IF(AND(L750="Mittellos und ambulant",D757&gt;2,D757&lt;=4),246,IF(AND(L750="Mittellos und ambulant",D757&gt;1,D757&lt;=2),277,IF(AND(L750="Mittellos und ambulant",D757&gt;0,D757&lt;=1),339,IF(AND(L750="Mittellos und stationär",D757&gt;8,D757&lt;=1000),102,IF(AND(L750="Mittellos und stationär",D757&gt;4,D757&lt;=8),141,IF(AND(L750="Mittellos und stationär",D757&gt;2,D757&lt;=4),202,IF(AND(L750="Mittellos und stationär",D757&gt;1,D757&lt;=2),208,IF(AND(L750="Mittellos und stationär",D757&gt;0,D757&lt;=1),317,""))))))))))))))))))))),"")))*3+(J749*90)</f>
        <v>#NUM!</v>
      </c>
      <c r="M758" s="507" t="str">
        <f>CONCATENATE(K758, K757)</f>
        <v>+Inflat.-P</v>
      </c>
      <c r="N758" s="216"/>
      <c r="O758" s="188"/>
      <c r="P758" s="188"/>
      <c r="Q758" s="217" t="s">
        <v>118</v>
      </c>
      <c r="R758" s="189"/>
      <c r="S758" s="190"/>
      <c r="T758" s="190"/>
      <c r="U758" s="191"/>
      <c r="V758" s="192"/>
      <c r="W758" s="190"/>
      <c r="X758" s="190"/>
      <c r="Y758" s="191"/>
      <c r="Z758" s="192"/>
      <c r="AA758" s="190"/>
      <c r="AB758" s="190"/>
      <c r="AC758" s="191"/>
      <c r="AD758" s="192"/>
      <c r="AE758" s="190" t="s">
        <v>118</v>
      </c>
      <c r="AF758" s="190" t="s">
        <v>117</v>
      </c>
      <c r="AG758" s="191" t="s">
        <v>26</v>
      </c>
      <c r="AH758" s="193"/>
      <c r="AI758" s="190" t="s">
        <v>118</v>
      </c>
      <c r="AJ758" s="190" t="s">
        <v>117</v>
      </c>
      <c r="AK758" s="374" t="s">
        <v>26</v>
      </c>
      <c r="AL758" s="348" t="s">
        <v>151</v>
      </c>
      <c r="AM758" s="354"/>
      <c r="AN758" s="354"/>
      <c r="AO758" s="354"/>
      <c r="AP758" s="354">
        <f>IF(SUM(Q750:Q758)=SUM(AE750:AE758,AI750:AI758), 0, SUM(Q750:Q758)-SUM(AE750:AE758,AI750:AI758))</f>
        <v>0</v>
      </c>
      <c r="AQ758" s="350">
        <f>AM758+AN758+AO758+AP758</f>
        <v>0</v>
      </c>
      <c r="AR758" s="769"/>
      <c r="AS758" s="769"/>
      <c r="AT758" s="769"/>
      <c r="BM758" s="335"/>
    </row>
    <row r="759" spans="1:65" ht="22" customHeight="1">
      <c r="A759" s="181">
        <f t="shared" si="250"/>
        <v>45292</v>
      </c>
      <c r="B759" s="232" t="s">
        <v>74</v>
      </c>
      <c r="C759" s="233" t="s">
        <v>75</v>
      </c>
      <c r="D759" s="234" t="s">
        <v>76</v>
      </c>
      <c r="E759" s="235" t="s">
        <v>11</v>
      </c>
      <c r="F759" s="235" t="s">
        <v>4</v>
      </c>
      <c r="G759" s="235" t="s">
        <v>5</v>
      </c>
      <c r="H759" s="235" t="s">
        <v>6</v>
      </c>
      <c r="I759" s="236" t="s">
        <v>77</v>
      </c>
      <c r="J759" s="306"/>
      <c r="K759" s="506" t="str">
        <f t="shared" si="251"/>
        <v/>
      </c>
      <c r="L759" s="306" t="str">
        <f>IFERROR(VLOOKUP(B760,'Aktuelle Einnahmen'!A2:J104,10,0),"")</f>
        <v/>
      </c>
      <c r="M759" s="510" t="str">
        <f>M749</f>
        <v>Stufe C</v>
      </c>
      <c r="N759" s="237"/>
      <c r="O759" s="238"/>
      <c r="P759" s="238"/>
      <c r="Q759" s="239"/>
      <c r="R759" s="240"/>
      <c r="S759" s="241"/>
      <c r="T759" s="241"/>
      <c r="U759" s="242"/>
      <c r="V759" s="243"/>
      <c r="W759" s="241"/>
      <c r="X759" s="241"/>
      <c r="Y759" s="242"/>
      <c r="Z759" s="243"/>
      <c r="AA759" s="241"/>
      <c r="AB759" s="241"/>
      <c r="AC759" s="242"/>
      <c r="AD759" s="243"/>
      <c r="AE759" s="241"/>
      <c r="AF759" s="241"/>
      <c r="AG759" s="242"/>
      <c r="AH759" s="240"/>
      <c r="AI759" s="241"/>
      <c r="AJ759" s="241"/>
      <c r="AK759" s="377"/>
      <c r="AL759" s="347"/>
      <c r="AM759" s="353"/>
      <c r="AN759" s="353"/>
      <c r="AO759" s="353"/>
      <c r="AP759" s="353"/>
      <c r="AQ759" s="349"/>
      <c r="AR759" s="768"/>
      <c r="AS759" s="768"/>
      <c r="AT759" s="768"/>
      <c r="BM759" s="335"/>
    </row>
    <row r="760" spans="1:65" ht="23" customHeight="1">
      <c r="A760" s="181">
        <f t="shared" si="250"/>
        <v>45292</v>
      </c>
      <c r="B760" s="182">
        <v>76</v>
      </c>
      <c r="C760" s="245">
        <f>IFERROR(VLOOKUP($B760,'Aktuelle Einnahmen'!A2:G104,3,0),"")</f>
        <v>0</v>
      </c>
      <c r="D760" s="246">
        <f>IFERROR(VLOOKUP($B760,'Aktuelle Einnahmen'!A2:G104,2,0),"")</f>
        <v>0</v>
      </c>
      <c r="E760" s="247">
        <f>IFERROR(VLOOKUP($B760,'Aktuelle Einnahmen'!A2:G104,4,0),"")</f>
        <v>0</v>
      </c>
      <c r="F760" s="94">
        <f>IFERROR(VLOOKUP($B760,'Aktuelle Einnahmen'!A2:G104,5,0),"")</f>
        <v>0</v>
      </c>
      <c r="G760" s="94">
        <f>IFERROR(VLOOKUP($B760,'Aktuelle Einnahmen'!A2:G104,6,0),"")</f>
        <v>0</v>
      </c>
      <c r="H760" s="94">
        <f>IFERROR(VLOOKUP($B760,'Aktuelle Einnahmen'!A2:G104,7,0),"")</f>
        <v>0</v>
      </c>
      <c r="I760" s="186" t="e">
        <f>DATE(H760,G760,F760)</f>
        <v>#NUM!</v>
      </c>
      <c r="J760" s="472">
        <f ca="1">J750</f>
        <v>45475</v>
      </c>
      <c r="K760" s="501" t="str">
        <f t="shared" si="251"/>
        <v>+Inflat.-P</v>
      </c>
      <c r="L760" s="1262" t="str">
        <f>IFERROR(VLOOKUP(B760,'Aktuelle Einnahmen'!A22:I124,9,0),"")</f>
        <v>Auswahl treffen</v>
      </c>
      <c r="M760" s="1263"/>
      <c r="N760" s="261"/>
      <c r="O760" s="261"/>
      <c r="P760" s="261"/>
      <c r="Q760" s="261"/>
      <c r="R760" s="189"/>
      <c r="S760" s="190"/>
      <c r="T760" s="190"/>
      <c r="U760" s="191"/>
      <c r="V760" s="192"/>
      <c r="W760" s="190"/>
      <c r="X760" s="190"/>
      <c r="Y760" s="191"/>
      <c r="Z760" s="192"/>
      <c r="AA760" s="190"/>
      <c r="AB760" s="190"/>
      <c r="AC760" s="191"/>
      <c r="AD760" s="192"/>
      <c r="AE760" s="190"/>
      <c r="AF760" s="190"/>
      <c r="AG760" s="191"/>
      <c r="AH760" s="193"/>
      <c r="AI760" s="190"/>
      <c r="AJ760" s="190"/>
      <c r="AK760" s="374"/>
      <c r="AL760" s="348"/>
      <c r="AM760" s="354"/>
      <c r="AN760" s="354"/>
      <c r="AO760" s="354"/>
      <c r="AP760" s="354"/>
      <c r="AQ760" s="350"/>
      <c r="AR760" s="769"/>
      <c r="AS760" s="769"/>
      <c r="AT760" s="769"/>
      <c r="BM760" s="335"/>
    </row>
    <row r="761" spans="1:65" ht="22.25" customHeight="1">
      <c r="A761" s="181">
        <f t="shared" si="250"/>
        <v>45292</v>
      </c>
      <c r="B761" s="484" t="e">
        <f>DAY(I760)</f>
        <v>#NUM!</v>
      </c>
      <c r="C761" s="489" t="s">
        <v>158</v>
      </c>
      <c r="D761" s="520" t="e">
        <f>(I761*4)+J761/3+1</f>
        <v>#NUM!</v>
      </c>
      <c r="E761" s="194" t="e">
        <f>J763+1</f>
        <v>#NUM!</v>
      </c>
      <c r="F761" s="195" t="e">
        <f t="shared" ref="F761:F768" si="264">DAY(E761)</f>
        <v>#NUM!</v>
      </c>
      <c r="G761" s="196" t="e">
        <f t="shared" ref="G761:G768" si="265">MONTH(E761)</f>
        <v>#NUM!</v>
      </c>
      <c r="H761" s="195" t="e">
        <f t="shared" ref="H761:H768" si="266">YEAR(E761)</f>
        <v>#NUM!</v>
      </c>
      <c r="I761" s="197" t="e">
        <f>H761-(H760+2000)</f>
        <v>#NUM!</v>
      </c>
      <c r="J761" s="198" t="e">
        <f>G761-G760</f>
        <v>#NUM!</v>
      </c>
      <c r="K761" s="506" t="str">
        <f>L759</f>
        <v/>
      </c>
      <c r="L761" s="469"/>
      <c r="M761" s="473" t="e">
        <f ca="1">SUM(J760-E762)&amp;" Tage"</f>
        <v>#NUM!</v>
      </c>
      <c r="N761" s="206"/>
      <c r="O761" s="201"/>
      <c r="P761" s="201"/>
      <c r="Q761" s="202"/>
      <c r="R761" s="189"/>
      <c r="S761" s="203"/>
      <c r="T761" s="203"/>
      <c r="U761" s="204"/>
      <c r="V761" s="192"/>
      <c r="W761" s="203"/>
      <c r="X761" s="203"/>
      <c r="Y761" s="204"/>
      <c r="Z761" s="192"/>
      <c r="AA761" s="203"/>
      <c r="AB761" s="203"/>
      <c r="AC761" s="204"/>
      <c r="AD761" s="192"/>
      <c r="AE761" s="203"/>
      <c r="AF761" s="203"/>
      <c r="AG761" s="204"/>
      <c r="AH761" s="193"/>
      <c r="AI761" s="203"/>
      <c r="AJ761" s="203"/>
      <c r="AK761" s="375"/>
      <c r="AL761" s="348"/>
      <c r="AM761" s="354"/>
      <c r="AN761" s="354"/>
      <c r="AO761" s="354"/>
      <c r="AP761" s="354"/>
      <c r="AQ761" s="350"/>
      <c r="AR761" s="769"/>
      <c r="AS761" s="769"/>
      <c r="AT761" s="769"/>
      <c r="BM761" s="335"/>
    </row>
    <row r="762" spans="1:65" ht="22.25" customHeight="1">
      <c r="A762" s="181">
        <f t="shared" si="250"/>
        <v>45292</v>
      </c>
      <c r="B762" s="485"/>
      <c r="C762" s="490"/>
      <c r="D762" s="521"/>
      <c r="E762" s="194" t="e">
        <f>DATE(YEAR(E761),MONTH(E761)+3,DAY(E761)-1)</f>
        <v>#NUM!</v>
      </c>
      <c r="F762" s="195" t="e">
        <f t="shared" si="264"/>
        <v>#NUM!</v>
      </c>
      <c r="G762" s="196" t="e">
        <f t="shared" si="265"/>
        <v>#NUM!</v>
      </c>
      <c r="H762" s="195" t="e">
        <f t="shared" si="266"/>
        <v>#NUM!</v>
      </c>
      <c r="I762" s="244">
        <v>-1</v>
      </c>
      <c r="J762" s="198" t="e">
        <f>F761-F760</f>
        <v>#NUM!</v>
      </c>
      <c r="K762" s="506" t="str">
        <f t="shared" si="251"/>
        <v>+Inflat.-P</v>
      </c>
      <c r="L762" s="511" t="e">
        <f>IF(M759="Stufe A",IF(AND(L760="Auswahl treffen",D761&gt;=0,D761&lt;=1000),J759,IF(AND(L760="Vermögend und ambulant",D761&gt;8,D761&lt;=1000),130,IF(AND(L760="Vermögend und ambulant",D761&gt;4,D761&lt;=8),158,IF(AND(L760="Vermögend und ambulant",D761&gt;2,D761&lt;=4),192,IF(AND(L760="Vermögend und ambulant",D761&gt;1,D761&lt;=2),208,IF(AND(L760="Vermögend und ambulant",D761&gt;0,D761&lt;=1),298,IF(AND(L760="Vermögend und stationär",D761&gt;8,D761&lt;=1000),78,IF(AND(L760="Vermögend und stationär",D761&gt;4,D761&lt;=8),91,IF(AND(L760="Vermögend und stationär",D761&gt;2,D761&lt;=4),140,IF(AND(L760="Vermögend und stationär",D761&gt;1,D761&lt;=2),158,IF(AND(L760="Vermögend und stationär",D761&gt;0,D761&lt;=1),200,IF(AND(L760="Mittellos und ambulant",D761&gt;8,D761&lt;=1000),105,IF(AND(L760="Mittellos und ambulant",D761&gt;4,D761&lt;=8),122,IF(AND(L760="Mittellos und ambulant",D761&gt;2,D761&lt;=4),151,IF(AND(L760="Mittellos und ambulant",D761&gt;1,D761&lt;=2),170,IF(AND(L760="Mittellos und ambulant",D761&gt;0,D761&lt;=1),208,IF(AND(L760="Mittellos und stationär",D761&gt;8,D761&lt;=1000),62,IF(AND(L760="Mittellos und stationär",D761&gt;4,D761&lt;=8),87,IF(AND(L760="Mittellos und stationär",D761&gt;2,D761&lt;=4),124,IF(AND(L760="Mittellos und stationär",D761&gt;1,D761&lt;=2),129,IF(AND(L760="Mittellos und stationär",D761&gt;0,D761&lt;=1),194,""))))))))))))))))))))),IF(M759="Stufe B",IF(AND(L760="Auswahl treffen",D761&gt;=0,D761&lt;=1000),J759,IF(AND(L760="Vermögend und ambulant",D761&gt;8,D761&lt;=1000),161,IF(AND(L760="Vermögend und ambulant",D761&gt;4,D761&lt;=8),196,IF(AND(L760="Vermögend und ambulant",D761&gt;2,D761&lt;=4),238,IF(AND(L760="Vermögend und ambulant",D761&gt;1,D761&lt;=2),258,IF(AND(L760="Vermögend und ambulant",D761&gt;0,D761&lt;=1),370,IF(AND(L760="Vermögend und stationär",D761&gt;8,D761&lt;=1000),96,IF(AND(L760="Vermögend und stationär",D761&gt;4,D761&lt;=8),113,IF(AND(L760="Vermögend und stationär",D761&gt;2,D761&lt;=4),174,IF(AND(L760="Vermögend und stationär",D761&gt;1,D761&lt;=2),196,IF(AND(L760="Vermögend und stationär",D761&gt;0,D761&lt;=1),249,IF(AND(L760="Mittellos und ambulant",D761&gt;8,D761&lt;=1000),130,IF(AND(L760="Mittellos und ambulant",D761&gt;4,D761&lt;=8),151,IF(AND(L760="Mittellos und ambulant",D761&gt;2,D761&lt;=4),188,IF(AND(L760="Mittellos und ambulant",D761&gt;1,D761&lt;=2),211,IF(AND(L760="Mittellos und ambulant",D761&gt;0,D761&lt;=1),258,IF(AND(L760="Mittellos und stationär",D761&gt;8,D761&lt;=1000),78,IF(AND(L760="Mittellos und stationär",D761&gt;4,D761&lt;=8),107,IF(AND(L760="Mittellos und stationär",D761&gt;2,D761&lt;=4),154,IF(AND(L760="Mittellos und stationär",D761&gt;1,D761&lt;=2),158,IF(AND(L760="Mittellos und stationär",D761&gt;0,D761&lt;=1),241,""))))))))))))))))))))),IF(M759="Stufe C",IF(AND(L760="Auswahl treffen",D761&gt;=0,D761&lt;=1000),J759,IF(AND(L760="Vermögend und ambulant",D761&gt;8,D761&lt;=1000),211,IF(AND(L760="Vermögend und ambulant",D761&gt;4,D761&lt;=8),257,IF(AND(L760="Vermögend und ambulant",D761&gt;2,D761&lt;=4),312,IF(AND(L760="Vermögend und ambulant",D761&gt;1,D761&lt;=2),339,IF(AND(L760="Vermögend und ambulant",D761&gt;0,D761&lt;=1),486,IF(AND(L760="Vermögend und stationär",D761&gt;8,D761&lt;=1000),127,IF(AND(L760="Vermögend und stationär",D761&gt;4,D761&lt;=8),149,IF(AND(L760="Vermögend und stationär",D761&gt;2,D761&lt;=4),229,IF(AND(L760="Vermögend und stationär",D761&gt;1,D761&lt;=2),257,IF(AND(L760="Vermögend und stationär",D761&gt;0,D761&lt;=1),327,IF(AND(L760="Mittellos und ambulant",D761&gt;8,D761&lt;=1000),171,IF(AND(L760="Mittellos und ambulant",D761&gt;4,D761&lt;=8),198,IF(AND(L760="Mittellos und ambulant",D761&gt;2,D761&lt;=4),246,IF(AND(L760="Mittellos und ambulant",D761&gt;1,D761&lt;=2),277,IF(AND(L760="Mittellos und ambulant",D761&gt;0,D761&lt;=1),339,IF(AND(L760="Mittellos und stationär",D761&gt;8,D761&lt;=1000),102,IF(AND(L760="Mittellos und stationär",D761&gt;4,D761&lt;=8),141,IF(AND(L760="Mittellos und stationär",D761&gt;2,D761&lt;=4),202,IF(AND(L760="Mittellos und stationär",D761&gt;1,D761&lt;=2),208,IF(AND(L760="Mittellos und stationär",D761&gt;0,D761&lt;=1),317,""))))))))))))))))))))),"")))*3+(J759*90)</f>
        <v>#NUM!</v>
      </c>
      <c r="M762" s="507" t="str">
        <f>CONCATENATE(K762, K761)</f>
        <v>+Inflat.-P</v>
      </c>
      <c r="N762" s="206" t="s">
        <v>118</v>
      </c>
      <c r="O762" s="207"/>
      <c r="P762" s="207"/>
      <c r="Q762" s="208"/>
      <c r="R762" s="187"/>
      <c r="S762" s="209" t="s">
        <v>118</v>
      </c>
      <c r="T762" s="201" t="s">
        <v>117</v>
      </c>
      <c r="U762" s="210" t="s">
        <v>26</v>
      </c>
      <c r="V762" s="192"/>
      <c r="W762" s="203"/>
      <c r="X762" s="203"/>
      <c r="Y762" s="210"/>
      <c r="Z762" s="192"/>
      <c r="AA762" s="203"/>
      <c r="AB762" s="203"/>
      <c r="AC762" s="210"/>
      <c r="AD762" s="192"/>
      <c r="AE762" s="203"/>
      <c r="AF762" s="203"/>
      <c r="AG762" s="210"/>
      <c r="AH762" s="193"/>
      <c r="AI762" s="203"/>
      <c r="AJ762" s="203"/>
      <c r="AK762" s="376"/>
      <c r="AL762" s="348" t="s">
        <v>148</v>
      </c>
      <c r="AM762" s="354">
        <f>IF(SUM(N760:N768)=SUM(S760:S768), 0, SUM(N760:N768)-SUM(S760:S768))</f>
        <v>0</v>
      </c>
      <c r="AN762" s="354"/>
      <c r="AO762" s="354"/>
      <c r="AP762" s="354"/>
      <c r="AQ762" s="350">
        <f>AM762+AN762+AO762+AP762</f>
        <v>0</v>
      </c>
      <c r="AR762" s="769"/>
      <c r="AS762" s="769"/>
      <c r="AT762" s="769"/>
      <c r="BM762" s="335"/>
    </row>
    <row r="763" spans="1:65" ht="22.25" customHeight="1">
      <c r="A763" s="181">
        <f t="shared" si="250"/>
        <v>45292</v>
      </c>
      <c r="B763" s="484" t="e">
        <f>MONTH(I760)</f>
        <v>#NUM!</v>
      </c>
      <c r="C763" s="489" t="s">
        <v>158</v>
      </c>
      <c r="D763" s="522" t="e">
        <f>D761+1</f>
        <v>#NUM!</v>
      </c>
      <c r="E763" s="211" t="e">
        <f>DATE(YEAR(E762),MONTH(E762),DAY(E762)+1)</f>
        <v>#NUM!</v>
      </c>
      <c r="F763" s="212" t="e">
        <f t="shared" si="264"/>
        <v>#NUM!</v>
      </c>
      <c r="G763" s="213" t="e">
        <f t="shared" si="265"/>
        <v>#NUM!</v>
      </c>
      <c r="H763" s="212" t="e">
        <f t="shared" si="266"/>
        <v>#NUM!</v>
      </c>
      <c r="I763" s="214" t="str">
        <f>IF(D760&lt;&gt;0,"-1T","")</f>
        <v/>
      </c>
      <c r="J763" s="215" t="e">
        <f>DATE($B765,I764,$B761)</f>
        <v>#NUM!</v>
      </c>
      <c r="K763" s="501" t="str">
        <f t="shared" si="251"/>
        <v/>
      </c>
      <c r="L763" s="470"/>
      <c r="M763" s="473" t="e">
        <f ca="1">SUM(J760-E764)&amp;" Tage"</f>
        <v>#NUM!</v>
      </c>
      <c r="N763" s="216"/>
      <c r="O763" s="217"/>
      <c r="P763" s="188"/>
      <c r="Q763" s="217"/>
      <c r="R763" s="189"/>
      <c r="S763" s="190"/>
      <c r="T763" s="190"/>
      <c r="U763" s="191"/>
      <c r="V763" s="192"/>
      <c r="W763" s="190"/>
      <c r="X763" s="190"/>
      <c r="Y763" s="191"/>
      <c r="Z763" s="192"/>
      <c r="AA763" s="190"/>
      <c r="AB763" s="190"/>
      <c r="AC763" s="191"/>
      <c r="AD763" s="192"/>
      <c r="AE763" s="190"/>
      <c r="AF763" s="190"/>
      <c r="AG763" s="191"/>
      <c r="AH763" s="193"/>
      <c r="AI763" s="190"/>
      <c r="AJ763" s="190"/>
      <c r="AK763" s="374"/>
      <c r="AL763" s="348"/>
      <c r="AM763" s="354"/>
      <c r="AN763" s="354"/>
      <c r="AO763" s="354"/>
      <c r="AP763" s="354"/>
      <c r="AQ763" s="350"/>
      <c r="AR763" s="769"/>
      <c r="AS763" s="769"/>
      <c r="AT763" s="769"/>
      <c r="BM763" s="335"/>
    </row>
    <row r="764" spans="1:65" ht="22.25" customHeight="1">
      <c r="A764" s="181">
        <f t="shared" si="250"/>
        <v>45292</v>
      </c>
      <c r="B764" s="485"/>
      <c r="C764" s="490"/>
      <c r="D764" s="521"/>
      <c r="E764" s="218" t="e">
        <f>DATE(YEAR(E763),MONTH(E763)+3,DAY(E763)-1)</f>
        <v>#NUM!</v>
      </c>
      <c r="F764" s="212" t="e">
        <f t="shared" si="264"/>
        <v>#NUM!</v>
      </c>
      <c r="G764" s="213" t="e">
        <f t="shared" si="265"/>
        <v>#NUM!</v>
      </c>
      <c r="H764" s="212" t="e">
        <f t="shared" si="266"/>
        <v>#NUM!</v>
      </c>
      <c r="I764" s="219">
        <f>MAX(I765:I768)</f>
        <v>9</v>
      </c>
      <c r="J764" s="220" t="e">
        <f>DATE(YEAR(J763)+1,MONTH(J763),DAY(J763))</f>
        <v>#NUM!</v>
      </c>
      <c r="K764" s="506" t="str">
        <f t="shared" si="251"/>
        <v>+Inflat.-P</v>
      </c>
      <c r="L764" s="508" t="e">
        <f>IF(M759="Stufe A",IF(AND(L760="Auswahl treffen",D763&gt;=0,D763&lt;=1000),J759,IF(AND(L760="Vermögend und ambulant",D763&gt;8,D763&lt;=1000),130,IF(AND(L760="Vermögend und ambulant",D763&gt;4,D763&lt;=8),158,IF(AND(L760="Vermögend und ambulant",D763&gt;2,D763&lt;=4),192,IF(AND(L760="Vermögend und ambulant",D763&gt;1,D763&lt;=2),208,IF(AND(L760="Vermögend und ambulant",D763&gt;0,D763&lt;=1),298,IF(AND(L760="Vermögend und stationär",D763&gt;8,D763&lt;=1000),78,IF(AND(L760="Vermögend und stationär",D763&gt;4,D763&lt;=8),91,IF(AND(L760="Vermögend und stationär",D763&gt;2,D763&lt;=4),140,IF(AND(L760="Vermögend und stationär",D763&gt;1,D763&lt;=2),158,IF(AND(L760="Vermögend und stationär",D763&gt;0,D763&lt;=1),200,IF(AND(L760="Mittellos und ambulant",D763&gt;8,D763&lt;=1000),105,IF(AND(L760="Mittellos und ambulant",D763&gt;4,D763&lt;=8),122,IF(AND(L760="Mittellos und ambulant",D763&gt;2,D763&lt;=4),151,IF(AND(L760="Mittellos und ambulant",D763&gt;1,D763&lt;=2),170,IF(AND(L760="Mittellos und ambulant",D763&gt;0,D763&lt;=1),208,IF(AND(L760="Mittellos und stationär",D763&gt;8,D763&lt;=1000),62,IF(AND(L760="Mittellos und stationär",D763&gt;4,D763&lt;=8),87,IF(AND(L760="Mittellos und stationär",D763&gt;2,D763&lt;=4),124,IF(AND(L760="Mittellos und stationär",D763&gt;1,D763&lt;=2),129,IF(AND(L760="Mittellos und stationär",D763&gt;0,D763&lt;=1),194,""))))))))))))))))))))),IF(M759="Stufe B",IF(AND(L760="Auswahl treffen",D763&gt;=0,D763&lt;=1000),J759,IF(AND(L760="Vermögend und ambulant",D763&gt;8,D763&lt;=1000),161,IF(AND(L760="Vermögend und ambulant",D763&gt;4,D763&lt;=8),196,IF(AND(L760="Vermögend und ambulant",D763&gt;2,D763&lt;=4),238,IF(AND(L760="Vermögend und ambulant",D763&gt;1,D763&lt;=2),258,IF(AND(L760="Vermögend und ambulant",D763&gt;0,D763&lt;=1),370,IF(AND(L760="Vermögend und stationär",D763&gt;8,D763&lt;=1000),96,IF(AND(L760="Vermögend und stationär",D763&gt;4,D763&lt;=8),113,IF(AND(L760="Vermögend und stationär",D763&gt;2,D763&lt;=4),174,IF(AND(L760="Vermögend und stationär",D763&gt;1,D763&lt;=2),196,IF(AND(L760="Vermögend und stationär",D763&gt;0,D763&lt;=1),249,IF(AND(L760="Mittellos und ambulant",D763&gt;8,D763&lt;=1000),130,IF(AND(L760="Mittellos und ambulant",D763&gt;4,D763&lt;=8),151,IF(AND(L760="Mittellos und ambulant",D763&gt;2,D763&lt;=4),188,IF(AND(L760="Mittellos und ambulant",D763&gt;1,D763&lt;=2),211,IF(AND(L760="Mittellos und ambulant",D763&gt;0,D763&lt;=1),258,IF(AND(L760="Mittellos und stationär",D763&gt;8,D763&lt;=1000),78,IF(AND(L760="Mittellos und stationär",D763&gt;4,D763&lt;=8),107,IF(AND(L760="Mittellos und stationär",D763&gt;2,D763&lt;=4),154,IF(AND(L760="Mittellos und stationär",D763&gt;1,D763&lt;=2),158,IF(AND(L760="Mittellos und stationär",D763&gt;0,D763&lt;=1),241,""))))))))))))))))))))),IF(M759="Stufe C",IF(AND(L760="Auswahl treffen",D763&gt;=0,D763&lt;=1000),J759,IF(AND(L760="Vermögend und ambulant",D763&gt;8,D763&lt;=1000),211,IF(AND(L760="Vermögend und ambulant",D763&gt;4,D763&lt;=8),257,IF(AND(L760="Vermögend und ambulant",D763&gt;2,D763&lt;=4),312,IF(AND(L760="Vermögend und ambulant",D763&gt;1,D763&lt;=2),339,IF(AND(L760="Vermögend und ambulant",D763&gt;0,D763&lt;=1),486,IF(AND(L760="Vermögend und stationär",D763&gt;8,D763&lt;=1000),127,IF(AND(L760="Vermögend und stationär",D763&gt;4,D763&lt;=8),149,IF(AND(L760="Vermögend und stationär",D763&gt;2,D763&lt;=4),229,IF(AND(L760="Vermögend und stationär",D763&gt;1,D763&lt;=2),257,IF(AND(L760="Vermögend und stationär",D763&gt;0,D763&lt;=1),327,IF(AND(L760="Mittellos und ambulant",D763&gt;8,D763&lt;=1000),171,IF(AND(L760="Mittellos und ambulant",D763&gt;4,D763&lt;=8),198,IF(AND(L760="Mittellos und ambulant",D763&gt;2,D763&lt;=4),246,IF(AND(L760="Mittellos und ambulant",D763&gt;1,D763&lt;=2),277,IF(AND(L760="Mittellos und ambulant",D763&gt;0,D763&lt;=1),339,IF(AND(L760="Mittellos und stationär",D763&gt;8,D763&lt;=1000),102,IF(AND(L760="Mittellos und stationär",D763&gt;4,D763&lt;=8),141,IF(AND(L760="Mittellos und stationär",D763&gt;2,D763&lt;=4),202,IF(AND(L760="Mittellos und stationär",D763&gt;1,D763&lt;=2),208,IF(AND(L760="Mittellos und stationär",D763&gt;0,D763&lt;=1),317,""))))))))))))))))))))),"")))*3+(J759*90)</f>
        <v>#NUM!</v>
      </c>
      <c r="M764" s="507" t="str">
        <f>CONCATENATE(K764, K763)</f>
        <v>+Inflat.-P</v>
      </c>
      <c r="N764" s="216"/>
      <c r="O764" s="188" t="s">
        <v>118</v>
      </c>
      <c r="P764" s="188"/>
      <c r="Q764" s="221"/>
      <c r="R764" s="199"/>
      <c r="S764" s="190"/>
      <c r="T764" s="190"/>
      <c r="U764" s="191"/>
      <c r="V764" s="192"/>
      <c r="W764" s="222" t="s">
        <v>118</v>
      </c>
      <c r="X764" s="222" t="s">
        <v>117</v>
      </c>
      <c r="Y764" s="191" t="s">
        <v>26</v>
      </c>
      <c r="Z764" s="192"/>
      <c r="AA764" s="190"/>
      <c r="AB764" s="190"/>
      <c r="AC764" s="191"/>
      <c r="AD764" s="192"/>
      <c r="AE764" s="190"/>
      <c r="AF764" s="190"/>
      <c r="AG764" s="191"/>
      <c r="AH764" s="193"/>
      <c r="AI764" s="190"/>
      <c r="AJ764" s="190"/>
      <c r="AK764" s="374"/>
      <c r="AL764" s="348" t="s">
        <v>149</v>
      </c>
      <c r="AM764" s="354"/>
      <c r="AN764" s="354">
        <f>IF(SUM(O760:O768)=SUM(W760:W768), 0, SUM(O760:O768)-SUM(W760:W768))</f>
        <v>0</v>
      </c>
      <c r="AO764" s="354"/>
      <c r="AP764" s="354"/>
      <c r="AQ764" s="350">
        <f>AM764+AN764+AO764+AP764</f>
        <v>0</v>
      </c>
      <c r="AR764" s="769"/>
      <c r="AS764" s="769"/>
      <c r="AT764" s="769"/>
      <c r="BM764" s="335"/>
    </row>
    <row r="765" spans="1:65" ht="22.25" customHeight="1">
      <c r="A765" s="181">
        <f t="shared" si="250"/>
        <v>45292</v>
      </c>
      <c r="B765" s="484">
        <f>YEAR($A766)-1</f>
        <v>2023</v>
      </c>
      <c r="C765" s="489" t="s">
        <v>158</v>
      </c>
      <c r="D765" s="520" t="e">
        <f>D763+1</f>
        <v>#NUM!</v>
      </c>
      <c r="E765" s="194" t="e">
        <f>DATE(YEAR(E764),MONTH(E764),DAY(E764)+1)</f>
        <v>#NUM!</v>
      </c>
      <c r="F765" s="195" t="e">
        <f t="shared" si="264"/>
        <v>#NUM!</v>
      </c>
      <c r="G765" s="196" t="e">
        <f t="shared" si="265"/>
        <v>#NUM!</v>
      </c>
      <c r="H765" s="195" t="e">
        <f t="shared" si="266"/>
        <v>#NUM!</v>
      </c>
      <c r="I765" s="197">
        <f>IF(J767&lt;13,J767,"")</f>
        <v>9</v>
      </c>
      <c r="J765" s="224">
        <f>G760</f>
        <v>0</v>
      </c>
      <c r="K765" s="501" t="str">
        <f t="shared" si="251"/>
        <v/>
      </c>
      <c r="L765" s="471"/>
      <c r="M765" s="473" t="e">
        <f ca="1">SUM(J760-E766)&amp;" Tage"</f>
        <v>#NUM!</v>
      </c>
      <c r="N765" s="200"/>
      <c r="O765" s="201"/>
      <c r="P765" s="201"/>
      <c r="Q765" s="202"/>
      <c r="R765" s="189"/>
      <c r="S765" s="203"/>
      <c r="T765" s="203"/>
      <c r="U765" s="204"/>
      <c r="V765" s="192"/>
      <c r="W765" s="203"/>
      <c r="X765" s="203"/>
      <c r="Y765" s="204"/>
      <c r="Z765" s="192"/>
      <c r="AA765" s="203"/>
      <c r="AB765" s="203"/>
      <c r="AC765" s="204"/>
      <c r="AD765" s="192"/>
      <c r="AE765" s="203"/>
      <c r="AF765" s="203"/>
      <c r="AG765" s="204"/>
      <c r="AH765" s="193"/>
      <c r="AI765" s="203"/>
      <c r="AJ765" s="203"/>
      <c r="AK765" s="375"/>
      <c r="AL765" s="348"/>
      <c r="AM765" s="354"/>
      <c r="AN765" s="354"/>
      <c r="AO765" s="354"/>
      <c r="AP765" s="354"/>
      <c r="AQ765" s="350"/>
      <c r="AR765" s="769"/>
      <c r="AS765" s="769"/>
      <c r="AT765" s="769"/>
      <c r="BM765" s="335"/>
    </row>
    <row r="766" spans="1:65" ht="22.25" customHeight="1">
      <c r="A766" s="181">
        <f t="shared" si="250"/>
        <v>45292</v>
      </c>
      <c r="B766" s="485"/>
      <c r="C766" s="490"/>
      <c r="D766" s="521"/>
      <c r="E766" s="194" t="e">
        <f>DATE(YEAR(E765),MONTH(E765)+3,DAY(E765)-1)</f>
        <v>#NUM!</v>
      </c>
      <c r="F766" s="195" t="e">
        <f t="shared" si="264"/>
        <v>#NUM!</v>
      </c>
      <c r="G766" s="196" t="e">
        <f t="shared" si="265"/>
        <v>#NUM!</v>
      </c>
      <c r="H766" s="195" t="e">
        <f t="shared" si="266"/>
        <v>#NUM!</v>
      </c>
      <c r="I766" s="244">
        <f>IF(J768&lt;13,J768,"")</f>
        <v>6</v>
      </c>
      <c r="J766" s="224">
        <f>J765+3</f>
        <v>3</v>
      </c>
      <c r="K766" s="506" t="str">
        <f t="shared" si="251"/>
        <v>+Inflat.-P</v>
      </c>
      <c r="L766" s="511" t="e">
        <f>IF(M759="Stufe A",IF(AND(L760="Auswahl treffen",D765&gt;=0,D765&lt;=1000),J759,IF(AND(L760="Vermögend und ambulant",D765&gt;8,D765&lt;=1000),130,IF(AND(L760="Vermögend und ambulant",D765&gt;4,D765&lt;=8),158,IF(AND(L760="Vermögend und ambulant",D765&gt;2,D765&lt;=4),192,IF(AND(L760="Vermögend und ambulant",D765&gt;1,D765&lt;=2),208,IF(AND(L760="Vermögend und ambulant",D765&gt;0,D765&lt;=1),298,IF(AND(L760="Vermögend und stationär",D765&gt;8,D765&lt;=1000),78,IF(AND(L760="Vermögend und stationär",D765&gt;4,D765&lt;=8),91,IF(AND(L760="Vermögend und stationär",D765&gt;2,D765&lt;=4),140,IF(AND(L760="Vermögend und stationär",D765&gt;1,D765&lt;=2),158,IF(AND(L760="Vermögend und stationär",D765&gt;0,D765&lt;=1),200,IF(AND(L760="Mittellos und ambulant",D765&gt;8,D765&lt;=1000),105,IF(AND(L760="Mittellos und ambulant",D765&gt;4,D765&lt;=8),122,IF(AND(L760="Mittellos und ambulant",D765&gt;2,D765&lt;=4),151,IF(AND(L760="Mittellos und ambulant",D765&gt;1,D765&lt;=2),170,IF(AND(L760="Mittellos und ambulant",D765&gt;0,D765&lt;=1),208,IF(AND(L760="Mittellos und stationär",D765&gt;8,D765&lt;=1000),62,IF(AND(L760="Mittellos und stationär",D765&gt;4,D765&lt;=8),87,IF(AND(L760="Mittellos und stationär",D765&gt;2,D765&lt;=4),124,IF(AND(L760="Mittellos und stationär",D765&gt;1,D765&lt;=2),129,IF(AND(L760="Mittellos und stationär",D765&gt;0,D765&lt;=1),194,""))))))))))))))))))))),IF(M759="Stufe B",IF(AND(L760="Auswahl treffen",D765&gt;=0,D765&lt;=1000),J759,IF(AND(L760="Vermögend und ambulant",D765&gt;8,D765&lt;=1000),161,IF(AND(L760="Vermögend und ambulant",D765&gt;4,D765&lt;=8),196,IF(AND(L760="Vermögend und ambulant",D765&gt;2,D765&lt;=4),238,IF(AND(L760="Vermögend und ambulant",D765&gt;1,D765&lt;=2),258,IF(AND(L760="Vermögend und ambulant",D765&gt;0,D765&lt;=1),370,IF(AND(L760="Vermögend und stationär",D765&gt;8,D765&lt;=1000),96,IF(AND(L760="Vermögend und stationär",D765&gt;4,D765&lt;=8),113,IF(AND(L760="Vermögend und stationär",D765&gt;2,D765&lt;=4),174,IF(AND(L760="Vermögend und stationär",D765&gt;1,D765&lt;=2),196,IF(AND(L760="Vermögend und stationär",D765&gt;0,D765&lt;=1),249,IF(AND(L760="Mittellos und ambulant",D765&gt;8,D765&lt;=1000),130,IF(AND(L760="Mittellos und ambulant",D765&gt;4,D765&lt;=8),151,IF(AND(L760="Mittellos und ambulant",D765&gt;2,D765&lt;=4),188,IF(AND(L760="Mittellos und ambulant",D765&gt;1,D765&lt;=2),211,IF(AND(L760="Mittellos und ambulant",D765&gt;0,D765&lt;=1),258,IF(AND(L760="Mittellos und stationär",D765&gt;8,D765&lt;=1000),78,IF(AND(L760="Mittellos und stationär",D765&gt;4,D765&lt;=8),107,IF(AND(L760="Mittellos und stationär",D765&gt;2,D765&lt;=4),154,IF(AND(L760="Mittellos und stationär",D765&gt;1,D765&lt;=2),158,IF(AND(L760="Mittellos und stationär",D765&gt;0,D765&lt;=1),241,""))))))))))))))))))))),IF(M759="Stufe C",IF(AND(L760="Auswahl treffen",D765&gt;=0,D765&lt;=1000),J759,IF(AND(L760="Vermögend und ambulant",D765&gt;8,D765&lt;=1000),211,IF(AND(L760="Vermögend und ambulant",D765&gt;4,D765&lt;=8),257,IF(AND(L760="Vermögend und ambulant",D765&gt;2,D765&lt;=4),312,IF(AND(L760="Vermögend und ambulant",D765&gt;1,D765&lt;=2),339,IF(AND(L760="Vermögend und ambulant",D765&gt;0,D765&lt;=1),486,IF(AND(L760="Vermögend und stationär",D765&gt;8,D765&lt;=1000),127,IF(AND(L760="Vermögend und stationär",D765&gt;4,D765&lt;=8),149,IF(AND(L760="Vermögend und stationär",D765&gt;2,D765&lt;=4),229,IF(AND(L760="Vermögend und stationär",D765&gt;1,D765&lt;=2),257,IF(AND(L760="Vermögend und stationär",D765&gt;0,D765&lt;=1),327,IF(AND(L760="Mittellos und ambulant",D765&gt;8,D765&lt;=1000),171,IF(AND(L760="Mittellos und ambulant",D765&gt;4,D765&lt;=8),198,IF(AND(L760="Mittellos und ambulant",D765&gt;2,D765&lt;=4),246,IF(AND(L760="Mittellos und ambulant",D765&gt;1,D765&lt;=2),277,IF(AND(L760="Mittellos und ambulant",D765&gt;0,D765&lt;=1),339,IF(AND(L760="Mittellos und stationär",D765&gt;8,D765&lt;=1000),102,IF(AND(L760="Mittellos und stationär",D765&gt;4,D765&lt;=8),141,IF(AND(L760="Mittellos und stationär",D765&gt;2,D765&lt;=4),202,IF(AND(L760="Mittellos und stationär",D765&gt;1,D765&lt;=2),208,IF(AND(L760="Mittellos und stationär",D765&gt;0,D765&lt;=1),317,""))))))))))))))))))))),"")))*3+(J759*90)</f>
        <v>#NUM!</v>
      </c>
      <c r="M766" s="507" t="str">
        <f>CONCATENATE(K766, K765)</f>
        <v>+Inflat.-P</v>
      </c>
      <c r="N766" s="206"/>
      <c r="O766" s="207"/>
      <c r="P766" s="206" t="s">
        <v>118</v>
      </c>
      <c r="Q766" s="226"/>
      <c r="R766" s="189"/>
      <c r="S766" s="203"/>
      <c r="T766" s="203"/>
      <c r="U766" s="204"/>
      <c r="V766" s="192"/>
      <c r="W766" s="203"/>
      <c r="X766" s="203"/>
      <c r="Y766" s="204"/>
      <c r="Z766" s="192"/>
      <c r="AA766" s="209" t="s">
        <v>118</v>
      </c>
      <c r="AB766" s="209" t="s">
        <v>117</v>
      </c>
      <c r="AC766" s="204" t="s">
        <v>26</v>
      </c>
      <c r="AD766" s="192"/>
      <c r="AE766" s="203"/>
      <c r="AF766" s="203"/>
      <c r="AG766" s="204"/>
      <c r="AH766" s="193"/>
      <c r="AI766" s="203"/>
      <c r="AJ766" s="203"/>
      <c r="AK766" s="375"/>
      <c r="AL766" s="348" t="s">
        <v>150</v>
      </c>
      <c r="AM766" s="354"/>
      <c r="AN766" s="354"/>
      <c r="AO766" s="354">
        <f>IF(SUM(P760:P768)=SUM(AA760:AA768), 0, SUM(P760:P768)-SUM(AA760:AA768))</f>
        <v>0</v>
      </c>
      <c r="AP766" s="354"/>
      <c r="AQ766" s="350">
        <f>AM766+AN766+AO766+AP766</f>
        <v>0</v>
      </c>
      <c r="AR766" s="769"/>
      <c r="AS766" s="769"/>
      <c r="AT766" s="769"/>
      <c r="BM766" s="335"/>
    </row>
    <row r="767" spans="1:65" ht="22.25" customHeight="1">
      <c r="A767" s="181">
        <f t="shared" si="250"/>
        <v>45292</v>
      </c>
      <c r="B767" s="486"/>
      <c r="C767" s="489" t="s">
        <v>158</v>
      </c>
      <c r="D767" s="522" t="e">
        <f>D765+1</f>
        <v>#NUM!</v>
      </c>
      <c r="E767" s="211" t="e">
        <f>DATE(YEAR(E766),MONTH(E766),DAY(E766)+1)</f>
        <v>#NUM!</v>
      </c>
      <c r="F767" s="227" t="e">
        <f t="shared" si="264"/>
        <v>#NUM!</v>
      </c>
      <c r="G767" s="228" t="e">
        <f t="shared" si="265"/>
        <v>#NUM!</v>
      </c>
      <c r="H767" s="227" t="e">
        <f t="shared" si="266"/>
        <v>#NUM!</v>
      </c>
      <c r="I767" s="231">
        <f>IF(J766&lt;13,J766,"")</f>
        <v>3</v>
      </c>
      <c r="J767" s="230">
        <f>J768+3</f>
        <v>9</v>
      </c>
      <c r="K767" s="501" t="str">
        <f t="shared" si="251"/>
        <v/>
      </c>
      <c r="L767" s="471"/>
      <c r="M767" s="473" t="e">
        <f ca="1">SUM(J760-E768)&amp;" Tage"</f>
        <v>#NUM!</v>
      </c>
      <c r="N767" s="216"/>
      <c r="O767" s="188"/>
      <c r="P767" s="188"/>
      <c r="Q767" s="217"/>
      <c r="R767" s="189"/>
      <c r="S767" s="190"/>
      <c r="T767" s="190"/>
      <c r="U767" s="191"/>
      <c r="V767" s="192"/>
      <c r="W767" s="190"/>
      <c r="X767" s="190"/>
      <c r="Y767" s="191"/>
      <c r="Z767" s="192"/>
      <c r="AA767" s="190"/>
      <c r="AB767" s="190"/>
      <c r="AC767" s="191"/>
      <c r="AD767" s="192"/>
      <c r="AE767" s="190"/>
      <c r="AF767" s="190"/>
      <c r="AG767" s="191"/>
      <c r="AH767" s="193"/>
      <c r="AI767" s="190"/>
      <c r="AJ767" s="190"/>
      <c r="AK767" s="374"/>
      <c r="AL767" s="348"/>
      <c r="AM767" s="354"/>
      <c r="AN767" s="354"/>
      <c r="AO767" s="354"/>
      <c r="AP767" s="354"/>
      <c r="AQ767" s="350"/>
      <c r="AR767" s="769"/>
      <c r="AS767" s="769"/>
      <c r="AT767" s="769"/>
      <c r="BM767" s="335"/>
    </row>
    <row r="768" spans="1:65" ht="22.25" customHeight="1">
      <c r="A768" s="181">
        <f t="shared" si="250"/>
        <v>45292</v>
      </c>
      <c r="B768" s="485"/>
      <c r="C768" s="490"/>
      <c r="D768" s="521"/>
      <c r="E768" s="218" t="e">
        <f>DATE(YEAR(E767),MONTH(E767)+3,DAY(E767)-1)</f>
        <v>#NUM!</v>
      </c>
      <c r="F768" s="227" t="e">
        <f t="shared" si="264"/>
        <v>#NUM!</v>
      </c>
      <c r="G768" s="228" t="e">
        <f t="shared" si="265"/>
        <v>#NUM!</v>
      </c>
      <c r="H768" s="227" t="e">
        <f t="shared" si="266"/>
        <v>#NUM!</v>
      </c>
      <c r="I768" s="231">
        <f>IF(J765&lt;13,J765,"")</f>
        <v>0</v>
      </c>
      <c r="J768" s="230">
        <f>J766+3</f>
        <v>6</v>
      </c>
      <c r="K768" s="501" t="str">
        <f t="shared" si="251"/>
        <v>+Inflat.-P</v>
      </c>
      <c r="L768" s="508" t="e">
        <f>IF(M759="Stufe A",IF(AND(L760="Auswahl treffen",D767&gt;=0,D767&lt;=1000),J759,IF(AND(L760="Vermögend und ambulant",D767&gt;8,D767&lt;=1000),130,IF(AND(L760="Vermögend und ambulant",D767&gt;4,D767&lt;=8),158,IF(AND(L760="Vermögend und ambulant",D767&gt;2,D767&lt;=4),192,IF(AND(L760="Vermögend und ambulant",D767&gt;1,D767&lt;=2),208,IF(AND(L760="Vermögend und ambulant",D767&gt;0,D767&lt;=1),298,IF(AND(L760="Vermögend und stationär",D767&gt;8,D767&lt;=1000),78,IF(AND(L760="Vermögend und stationär",D767&gt;4,D767&lt;=8),91,IF(AND(L760="Vermögend und stationär",D767&gt;2,D767&lt;=4),140,IF(AND(L760="Vermögend und stationär",D767&gt;1,D767&lt;=2),158,IF(AND(L760="Vermögend und stationär",D767&gt;0,D767&lt;=1),200,IF(AND(L760="Mittellos und ambulant",D767&gt;8,D767&lt;=1000),105,IF(AND(L760="Mittellos und ambulant",D767&gt;4,D767&lt;=8),122,IF(AND(L760="Mittellos und ambulant",D767&gt;2,D767&lt;=4),151,IF(AND(L760="Mittellos und ambulant",D767&gt;1,D767&lt;=2),170,IF(AND(L760="Mittellos und ambulant",D767&gt;0,D767&lt;=1),208,IF(AND(L760="Mittellos und stationär",D767&gt;8,D767&lt;=1000),62,IF(AND(L760="Mittellos und stationär",D767&gt;4,D767&lt;=8),87,IF(AND(L760="Mittellos und stationär",D767&gt;2,D767&lt;=4),124,IF(AND(L760="Mittellos und stationär",D767&gt;1,D767&lt;=2),129,IF(AND(L760="Mittellos und stationär",D767&gt;0,D767&lt;=1),194,""))))))))))))))))))))),IF(M759="Stufe B",IF(AND(L760="Auswahl treffen",D767&gt;=0,D767&lt;=1000),J759,IF(AND(L760="Vermögend und ambulant",D767&gt;8,D767&lt;=1000),161,IF(AND(L760="Vermögend und ambulant",D767&gt;4,D767&lt;=8),196,IF(AND(L760="Vermögend und ambulant",D767&gt;2,D767&lt;=4),238,IF(AND(L760="Vermögend und ambulant",D767&gt;1,D767&lt;=2),258,IF(AND(L760="Vermögend und ambulant",D767&gt;0,D767&lt;=1),370,IF(AND(L760="Vermögend und stationär",D767&gt;8,D767&lt;=1000),96,IF(AND(L760="Vermögend und stationär",D767&gt;4,D767&lt;=8),113,IF(AND(L760="Vermögend und stationär",D767&gt;2,D767&lt;=4),174,IF(AND(L760="Vermögend und stationär",D767&gt;1,D767&lt;=2),196,IF(AND(L760="Vermögend und stationär",D767&gt;0,D767&lt;=1),249,IF(AND(L760="Mittellos und ambulant",D767&gt;8,D767&lt;=1000),130,IF(AND(L760="Mittellos und ambulant",D767&gt;4,D767&lt;=8),151,IF(AND(L760="Mittellos und ambulant",D767&gt;2,D767&lt;=4),188,IF(AND(L760="Mittellos und ambulant",D767&gt;1,D767&lt;=2),211,IF(AND(L760="Mittellos und ambulant",D767&gt;0,D767&lt;=1),258,IF(AND(L760="Mittellos und stationär",D767&gt;8,D767&lt;=1000),78,IF(AND(L760="Mittellos und stationär",D767&gt;4,D767&lt;=8),107,IF(AND(L760="Mittellos und stationär",D767&gt;2,D767&lt;=4),154,IF(AND(L760="Mittellos und stationär",D767&gt;1,D767&lt;=2),158,IF(AND(L760="Mittellos und stationär",D767&gt;0,D767&lt;=1),241,""))))))))))))))))))))),IF(M759="Stufe C",IF(AND(L760="Auswahl treffen",D767&gt;=0,D767&lt;=1000),J759,IF(AND(L760="Vermögend und ambulant",D767&gt;8,D767&lt;=1000),211,IF(AND(L760="Vermögend und ambulant",D767&gt;4,D767&lt;=8),257,IF(AND(L760="Vermögend und ambulant",D767&gt;2,D767&lt;=4),312,IF(AND(L760="Vermögend und ambulant",D767&gt;1,D767&lt;=2),339,IF(AND(L760="Vermögend und ambulant",D767&gt;0,D767&lt;=1),486,IF(AND(L760="Vermögend und stationär",D767&gt;8,D767&lt;=1000),127,IF(AND(L760="Vermögend und stationär",D767&gt;4,D767&lt;=8),149,IF(AND(L760="Vermögend und stationär",D767&gt;2,D767&lt;=4),229,IF(AND(L760="Vermögend und stationär",D767&gt;1,D767&lt;=2),257,IF(AND(L760="Vermögend und stationär",D767&gt;0,D767&lt;=1),327,IF(AND(L760="Mittellos und ambulant",D767&gt;8,D767&lt;=1000),171,IF(AND(L760="Mittellos und ambulant",D767&gt;4,D767&lt;=8),198,IF(AND(L760="Mittellos und ambulant",D767&gt;2,D767&lt;=4),246,IF(AND(L760="Mittellos und ambulant",D767&gt;1,D767&lt;=2),277,IF(AND(L760="Mittellos und ambulant",D767&gt;0,D767&lt;=1),339,IF(AND(L760="Mittellos und stationär",D767&gt;8,D767&lt;=1000),102,IF(AND(L760="Mittellos und stationär",D767&gt;4,D767&lt;=8),141,IF(AND(L760="Mittellos und stationär",D767&gt;2,D767&lt;=4),202,IF(AND(L760="Mittellos und stationär",D767&gt;1,D767&lt;=2),208,IF(AND(L760="Mittellos und stationär",D767&gt;0,D767&lt;=1),317,""))))))))))))))))))))),"")))*3+(J759*90)</f>
        <v>#NUM!</v>
      </c>
      <c r="M768" s="507" t="str">
        <f>CONCATENATE(K768, K767)</f>
        <v>+Inflat.-P</v>
      </c>
      <c r="N768" s="216"/>
      <c r="O768" s="188"/>
      <c r="P768" s="188"/>
      <c r="Q768" s="217" t="s">
        <v>118</v>
      </c>
      <c r="R768" s="189"/>
      <c r="S768" s="190"/>
      <c r="T768" s="190"/>
      <c r="U768" s="191"/>
      <c r="V768" s="192"/>
      <c r="W768" s="190"/>
      <c r="X768" s="190"/>
      <c r="Y768" s="191"/>
      <c r="Z768" s="192"/>
      <c r="AA768" s="190"/>
      <c r="AB768" s="190"/>
      <c r="AC768" s="191"/>
      <c r="AD768" s="192"/>
      <c r="AE768" s="190" t="s">
        <v>118</v>
      </c>
      <c r="AF768" s="190" t="s">
        <v>117</v>
      </c>
      <c r="AG768" s="191" t="s">
        <v>26</v>
      </c>
      <c r="AH768" s="193"/>
      <c r="AI768" s="190" t="s">
        <v>118</v>
      </c>
      <c r="AJ768" s="190" t="s">
        <v>117</v>
      </c>
      <c r="AK768" s="374" t="s">
        <v>26</v>
      </c>
      <c r="AL768" s="348" t="s">
        <v>151</v>
      </c>
      <c r="AM768" s="354"/>
      <c r="AN768" s="354"/>
      <c r="AO768" s="354"/>
      <c r="AP768" s="354">
        <f>IF(SUM(Q760:Q768)=SUM(AE760:AE768,AI760:AI768), 0, SUM(Q760:Q768)-SUM(AE760:AE768,AI760:AI768))</f>
        <v>0</v>
      </c>
      <c r="AQ768" s="350">
        <f>AM768+AN768+AO768+AP768</f>
        <v>0</v>
      </c>
      <c r="AR768" s="769"/>
      <c r="AS768" s="769"/>
      <c r="AT768" s="769"/>
      <c r="BM768" s="335"/>
    </row>
    <row r="769" spans="1:65" ht="22" customHeight="1">
      <c r="A769" s="181">
        <f t="shared" si="250"/>
        <v>45292</v>
      </c>
      <c r="B769" s="232" t="s">
        <v>74</v>
      </c>
      <c r="C769" s="233" t="s">
        <v>75</v>
      </c>
      <c r="D769" s="234" t="s">
        <v>76</v>
      </c>
      <c r="E769" s="235" t="s">
        <v>11</v>
      </c>
      <c r="F769" s="235" t="s">
        <v>4</v>
      </c>
      <c r="G769" s="235" t="s">
        <v>5</v>
      </c>
      <c r="H769" s="235" t="s">
        <v>6</v>
      </c>
      <c r="I769" s="236" t="s">
        <v>77</v>
      </c>
      <c r="J769" s="306"/>
      <c r="K769" s="506" t="str">
        <f t="shared" si="251"/>
        <v/>
      </c>
      <c r="L769" s="306" t="str">
        <f>IFERROR(VLOOKUP(B770,'Aktuelle Einnahmen'!A2:J104,10,0),"")</f>
        <v/>
      </c>
      <c r="M769" s="510" t="str">
        <f>M759</f>
        <v>Stufe C</v>
      </c>
      <c r="N769" s="237"/>
      <c r="O769" s="238"/>
      <c r="P769" s="238"/>
      <c r="Q769" s="239"/>
      <c r="R769" s="240"/>
      <c r="S769" s="241"/>
      <c r="T769" s="241"/>
      <c r="U769" s="242"/>
      <c r="V769" s="243"/>
      <c r="W769" s="241"/>
      <c r="X769" s="241"/>
      <c r="Y769" s="242"/>
      <c r="Z769" s="243"/>
      <c r="AA769" s="241"/>
      <c r="AB769" s="241"/>
      <c r="AC769" s="242"/>
      <c r="AD769" s="243"/>
      <c r="AE769" s="241"/>
      <c r="AF769" s="241"/>
      <c r="AG769" s="242"/>
      <c r="AH769" s="240"/>
      <c r="AI769" s="241"/>
      <c r="AJ769" s="241"/>
      <c r="AK769" s="377"/>
      <c r="AL769" s="347"/>
      <c r="AM769" s="353"/>
      <c r="AN769" s="353"/>
      <c r="AO769" s="353"/>
      <c r="AP769" s="353"/>
      <c r="AQ769" s="349"/>
      <c r="AR769" s="768"/>
      <c r="AS769" s="768"/>
      <c r="AT769" s="768"/>
      <c r="BM769" s="335"/>
    </row>
    <row r="770" spans="1:65" ht="23" customHeight="1">
      <c r="A770" s="181">
        <f t="shared" si="250"/>
        <v>45292</v>
      </c>
      <c r="B770" s="182">
        <v>77</v>
      </c>
      <c r="C770" s="245">
        <f>IFERROR(VLOOKUP($B770,'Aktuelle Einnahmen'!A2:G104,3,0),"")</f>
        <v>0</v>
      </c>
      <c r="D770" s="246">
        <f>IFERROR(VLOOKUP($B770,'Aktuelle Einnahmen'!A2:G104,2,0),"")</f>
        <v>0</v>
      </c>
      <c r="E770" s="247">
        <f>IFERROR(VLOOKUP($B770,'Aktuelle Einnahmen'!A2:G104,4,0),"")</f>
        <v>0</v>
      </c>
      <c r="F770" s="94">
        <f>IFERROR(VLOOKUP($B770,'Aktuelle Einnahmen'!A2:G104,5,0),"")</f>
        <v>0</v>
      </c>
      <c r="G770" s="94">
        <f>IFERROR(VLOOKUP($B770,'Aktuelle Einnahmen'!A2:G104,6,0),"")</f>
        <v>0</v>
      </c>
      <c r="H770" s="94">
        <f>IFERROR(VLOOKUP($B770,'Aktuelle Einnahmen'!A2:G104,7,0),"")</f>
        <v>0</v>
      </c>
      <c r="I770" s="186" t="e">
        <f>DATE(H770,G770,F770)</f>
        <v>#NUM!</v>
      </c>
      <c r="J770" s="472">
        <f ca="1">J760</f>
        <v>45475</v>
      </c>
      <c r="K770" s="501" t="str">
        <f t="shared" si="251"/>
        <v>+Inflat.-P</v>
      </c>
      <c r="L770" s="1262" t="str">
        <f>IFERROR(VLOOKUP(B770,'Aktuelle Einnahmen'!A22:I124,9,0),"")</f>
        <v>Auswahl treffen</v>
      </c>
      <c r="M770" s="1263"/>
      <c r="N770" s="261"/>
      <c r="O770" s="261"/>
      <c r="P770" s="261"/>
      <c r="Q770" s="261"/>
      <c r="R770" s="189"/>
      <c r="S770" s="190"/>
      <c r="T770" s="190"/>
      <c r="U770" s="191"/>
      <c r="V770" s="192"/>
      <c r="W770" s="190"/>
      <c r="X770" s="190"/>
      <c r="Y770" s="191"/>
      <c r="Z770" s="192"/>
      <c r="AA770" s="190"/>
      <c r="AB770" s="190"/>
      <c r="AC770" s="191"/>
      <c r="AD770" s="192"/>
      <c r="AE770" s="190"/>
      <c r="AF770" s="190"/>
      <c r="AG770" s="191"/>
      <c r="AH770" s="193"/>
      <c r="AI770" s="190"/>
      <c r="AJ770" s="190"/>
      <c r="AK770" s="374"/>
      <c r="AL770" s="348"/>
      <c r="AM770" s="354"/>
      <c r="AN770" s="354"/>
      <c r="AO770" s="354"/>
      <c r="AP770" s="354"/>
      <c r="AQ770" s="350"/>
      <c r="AR770" s="769"/>
      <c r="AS770" s="769"/>
      <c r="AT770" s="769"/>
      <c r="BM770" s="335"/>
    </row>
    <row r="771" spans="1:65" ht="22.25" customHeight="1">
      <c r="A771" s="181">
        <f t="shared" si="250"/>
        <v>45292</v>
      </c>
      <c r="B771" s="484" t="e">
        <f>DAY(I770)</f>
        <v>#NUM!</v>
      </c>
      <c r="C771" s="489" t="s">
        <v>158</v>
      </c>
      <c r="D771" s="520" t="e">
        <f>(I771*4)+J771/3+1</f>
        <v>#NUM!</v>
      </c>
      <c r="E771" s="194" t="e">
        <f>J773+1</f>
        <v>#NUM!</v>
      </c>
      <c r="F771" s="195" t="e">
        <f t="shared" ref="F771:F778" si="267">DAY(E771)</f>
        <v>#NUM!</v>
      </c>
      <c r="G771" s="196" t="e">
        <f t="shared" ref="G771:G778" si="268">MONTH(E771)</f>
        <v>#NUM!</v>
      </c>
      <c r="H771" s="195" t="e">
        <f t="shared" ref="H771:H778" si="269">YEAR(E771)</f>
        <v>#NUM!</v>
      </c>
      <c r="I771" s="197" t="e">
        <f>H771-(H770+2000)</f>
        <v>#NUM!</v>
      </c>
      <c r="J771" s="198" t="e">
        <f>G771-G770</f>
        <v>#NUM!</v>
      </c>
      <c r="K771" s="506" t="str">
        <f>L769</f>
        <v/>
      </c>
      <c r="L771" s="469"/>
      <c r="M771" s="473" t="e">
        <f ca="1">SUM(J770-E772)&amp;" Tage"</f>
        <v>#NUM!</v>
      </c>
      <c r="N771" s="206"/>
      <c r="O771" s="201"/>
      <c r="P771" s="201"/>
      <c r="Q771" s="202"/>
      <c r="R771" s="189"/>
      <c r="S771" s="203"/>
      <c r="T771" s="203"/>
      <c r="U771" s="204"/>
      <c r="V771" s="192"/>
      <c r="W771" s="203"/>
      <c r="X771" s="203"/>
      <c r="Y771" s="204"/>
      <c r="Z771" s="192"/>
      <c r="AA771" s="203"/>
      <c r="AB771" s="203"/>
      <c r="AC771" s="204"/>
      <c r="AD771" s="192"/>
      <c r="AE771" s="203"/>
      <c r="AF771" s="203"/>
      <c r="AG771" s="204"/>
      <c r="AH771" s="193"/>
      <c r="AI771" s="203"/>
      <c r="AJ771" s="203"/>
      <c r="AK771" s="375"/>
      <c r="AL771" s="348"/>
      <c r="AM771" s="354"/>
      <c r="AN771" s="354"/>
      <c r="AO771" s="354"/>
      <c r="AP771" s="354"/>
      <c r="AQ771" s="350"/>
      <c r="AR771" s="769"/>
      <c r="AS771" s="769"/>
      <c r="AT771" s="769"/>
      <c r="BM771" s="335"/>
    </row>
    <row r="772" spans="1:65" ht="22.25" customHeight="1">
      <c r="A772" s="181">
        <f t="shared" si="250"/>
        <v>45292</v>
      </c>
      <c r="B772" s="485"/>
      <c r="C772" s="490"/>
      <c r="D772" s="521"/>
      <c r="E772" s="194" t="e">
        <f>DATE(YEAR(E771),MONTH(E771)+3,DAY(E771)-1)</f>
        <v>#NUM!</v>
      </c>
      <c r="F772" s="195" t="e">
        <f t="shared" si="267"/>
        <v>#NUM!</v>
      </c>
      <c r="G772" s="196" t="e">
        <f t="shared" si="268"/>
        <v>#NUM!</v>
      </c>
      <c r="H772" s="195" t="e">
        <f t="shared" si="269"/>
        <v>#NUM!</v>
      </c>
      <c r="I772" s="244">
        <v>-1</v>
      </c>
      <c r="J772" s="198" t="e">
        <f>F771-F770</f>
        <v>#NUM!</v>
      </c>
      <c r="K772" s="501" t="str">
        <f t="shared" si="251"/>
        <v>+Inflat.-P</v>
      </c>
      <c r="L772" s="511" t="e">
        <f>IF(M769="Stufe A",IF(AND(L770="Auswahl treffen",D771&gt;=0,D771&lt;=1000),J769,IF(AND(L770="Vermögend und ambulant",D771&gt;8,D771&lt;=1000),130,IF(AND(L770="Vermögend und ambulant",D771&gt;4,D771&lt;=8),158,IF(AND(L770="Vermögend und ambulant",D771&gt;2,D771&lt;=4),192,IF(AND(L770="Vermögend und ambulant",D771&gt;1,D771&lt;=2),208,IF(AND(L770="Vermögend und ambulant",D771&gt;0,D771&lt;=1),298,IF(AND(L770="Vermögend und stationär",D771&gt;8,D771&lt;=1000),78,IF(AND(L770="Vermögend und stationär",D771&gt;4,D771&lt;=8),91,IF(AND(L770="Vermögend und stationär",D771&gt;2,D771&lt;=4),140,IF(AND(L770="Vermögend und stationär",D771&gt;1,D771&lt;=2),158,IF(AND(L770="Vermögend und stationär",D771&gt;0,D771&lt;=1),200,IF(AND(L770="Mittellos und ambulant",D771&gt;8,D771&lt;=1000),105,IF(AND(L770="Mittellos und ambulant",D771&gt;4,D771&lt;=8),122,IF(AND(L770="Mittellos und ambulant",D771&gt;2,D771&lt;=4),151,IF(AND(L770="Mittellos und ambulant",D771&gt;1,D771&lt;=2),170,IF(AND(L770="Mittellos und ambulant",D771&gt;0,D771&lt;=1),208,IF(AND(L770="Mittellos und stationär",D771&gt;8,D771&lt;=1000),62,IF(AND(L770="Mittellos und stationär",D771&gt;4,D771&lt;=8),87,IF(AND(L770="Mittellos und stationär",D771&gt;2,D771&lt;=4),124,IF(AND(L770="Mittellos und stationär",D771&gt;1,D771&lt;=2),129,IF(AND(L770="Mittellos und stationär",D771&gt;0,D771&lt;=1),194,""))))))))))))))))))))),IF(M769="Stufe B",IF(AND(L770="Auswahl treffen",D771&gt;=0,D771&lt;=1000),J769,IF(AND(L770="Vermögend und ambulant",D771&gt;8,D771&lt;=1000),161,IF(AND(L770="Vermögend und ambulant",D771&gt;4,D771&lt;=8),196,IF(AND(L770="Vermögend und ambulant",D771&gt;2,D771&lt;=4),238,IF(AND(L770="Vermögend und ambulant",D771&gt;1,D771&lt;=2),258,IF(AND(L770="Vermögend und ambulant",D771&gt;0,D771&lt;=1),370,IF(AND(L770="Vermögend und stationär",D771&gt;8,D771&lt;=1000),96,IF(AND(L770="Vermögend und stationär",D771&gt;4,D771&lt;=8),113,IF(AND(L770="Vermögend und stationär",D771&gt;2,D771&lt;=4),174,IF(AND(L770="Vermögend und stationär",D771&gt;1,D771&lt;=2),196,IF(AND(L770="Vermögend und stationär",D771&gt;0,D771&lt;=1),249,IF(AND(L770="Mittellos und ambulant",D771&gt;8,D771&lt;=1000),130,IF(AND(L770="Mittellos und ambulant",D771&gt;4,D771&lt;=8),151,IF(AND(L770="Mittellos und ambulant",D771&gt;2,D771&lt;=4),188,IF(AND(L770="Mittellos und ambulant",D771&gt;1,D771&lt;=2),211,IF(AND(L770="Mittellos und ambulant",D771&gt;0,D771&lt;=1),258,IF(AND(L770="Mittellos und stationär",D771&gt;8,D771&lt;=1000),78,IF(AND(L770="Mittellos und stationär",D771&gt;4,D771&lt;=8),107,IF(AND(L770="Mittellos und stationär",D771&gt;2,D771&lt;=4),154,IF(AND(L770="Mittellos und stationär",D771&gt;1,D771&lt;=2),158,IF(AND(L770="Mittellos und stationär",D771&gt;0,D771&lt;=1),241,""))))))))))))))))))))),IF(M769="Stufe C",IF(AND(L770="Auswahl treffen",D771&gt;=0,D771&lt;=1000),J769,IF(AND(L770="Vermögend und ambulant",D771&gt;8,D771&lt;=1000),211,IF(AND(L770="Vermögend und ambulant",D771&gt;4,D771&lt;=8),257,IF(AND(L770="Vermögend und ambulant",D771&gt;2,D771&lt;=4),312,IF(AND(L770="Vermögend und ambulant",D771&gt;1,D771&lt;=2),339,IF(AND(L770="Vermögend und ambulant",D771&gt;0,D771&lt;=1),486,IF(AND(L770="Vermögend und stationär",D771&gt;8,D771&lt;=1000),127,IF(AND(L770="Vermögend und stationär",D771&gt;4,D771&lt;=8),149,IF(AND(L770="Vermögend und stationär",D771&gt;2,D771&lt;=4),229,IF(AND(L770="Vermögend und stationär",D771&gt;1,D771&lt;=2),257,IF(AND(L770="Vermögend und stationär",D771&gt;0,D771&lt;=1),327,IF(AND(L770="Mittellos und ambulant",D771&gt;8,D771&lt;=1000),171,IF(AND(L770="Mittellos und ambulant",D771&gt;4,D771&lt;=8),198,IF(AND(L770="Mittellos und ambulant",D771&gt;2,D771&lt;=4),246,IF(AND(L770="Mittellos und ambulant",D771&gt;1,D771&lt;=2),277,IF(AND(L770="Mittellos und ambulant",D771&gt;0,D771&lt;=1),339,IF(AND(L770="Mittellos und stationär",D771&gt;8,D771&lt;=1000),102,IF(AND(L770="Mittellos und stationär",D771&gt;4,D771&lt;=8),141,IF(AND(L770="Mittellos und stationär",D771&gt;2,D771&lt;=4),202,IF(AND(L770="Mittellos und stationär",D771&gt;1,D771&lt;=2),208,IF(AND(L770="Mittellos und stationär",D771&gt;0,D771&lt;=1),317,""))))))))))))))))))))),"")))*3+(J769*90)</f>
        <v>#NUM!</v>
      </c>
      <c r="M772" s="507" t="str">
        <f>CONCATENATE(K772, K771)</f>
        <v>+Inflat.-P</v>
      </c>
      <c r="N772" s="206" t="s">
        <v>118</v>
      </c>
      <c r="O772" s="207"/>
      <c r="P772" s="207"/>
      <c r="Q772" s="208"/>
      <c r="R772" s="187"/>
      <c r="S772" s="209" t="s">
        <v>118</v>
      </c>
      <c r="T772" s="201" t="s">
        <v>117</v>
      </c>
      <c r="U772" s="210" t="s">
        <v>26</v>
      </c>
      <c r="V772" s="192"/>
      <c r="W772" s="203"/>
      <c r="X772" s="203"/>
      <c r="Y772" s="210"/>
      <c r="Z772" s="192"/>
      <c r="AA772" s="203"/>
      <c r="AB772" s="203"/>
      <c r="AC772" s="210"/>
      <c r="AD772" s="192"/>
      <c r="AE772" s="203"/>
      <c r="AF772" s="203"/>
      <c r="AG772" s="210"/>
      <c r="AH772" s="193"/>
      <c r="AI772" s="203"/>
      <c r="AJ772" s="203"/>
      <c r="AK772" s="376"/>
      <c r="AL772" s="348" t="s">
        <v>148</v>
      </c>
      <c r="AM772" s="354">
        <f>IF(SUM(N770:N778)=SUM(S770:S778), 0, SUM(N770:N778)-SUM(S770:S778))</f>
        <v>0</v>
      </c>
      <c r="AN772" s="354"/>
      <c r="AO772" s="354"/>
      <c r="AP772" s="354"/>
      <c r="AQ772" s="350">
        <f>AM772+AN772+AO772+AP772</f>
        <v>0</v>
      </c>
      <c r="AR772" s="769"/>
      <c r="AS772" s="769"/>
      <c r="AT772" s="769"/>
      <c r="BM772" s="335"/>
    </row>
    <row r="773" spans="1:65" ht="22.25" customHeight="1">
      <c r="A773" s="181">
        <f t="shared" si="250"/>
        <v>45292</v>
      </c>
      <c r="B773" s="484" t="e">
        <f>MONTH(I770)</f>
        <v>#NUM!</v>
      </c>
      <c r="C773" s="489" t="s">
        <v>158</v>
      </c>
      <c r="D773" s="522" t="e">
        <f>D771+1</f>
        <v>#NUM!</v>
      </c>
      <c r="E773" s="211" t="e">
        <f>DATE(YEAR(E772),MONTH(E772),DAY(E772)+1)</f>
        <v>#NUM!</v>
      </c>
      <c r="F773" s="212" t="e">
        <f t="shared" si="267"/>
        <v>#NUM!</v>
      </c>
      <c r="G773" s="213" t="e">
        <f t="shared" si="268"/>
        <v>#NUM!</v>
      </c>
      <c r="H773" s="212" t="e">
        <f t="shared" si="269"/>
        <v>#NUM!</v>
      </c>
      <c r="I773" s="214" t="str">
        <f>IF(D770&lt;&gt;0,"-1T","")</f>
        <v/>
      </c>
      <c r="J773" s="215" t="e">
        <f>DATE($B775,I774,$B771)</f>
        <v>#NUM!</v>
      </c>
      <c r="K773" s="506" t="str">
        <f t="shared" si="251"/>
        <v/>
      </c>
      <c r="L773" s="470"/>
      <c r="M773" s="473" t="e">
        <f ca="1">SUM(J770-E774)&amp;" Tage"</f>
        <v>#NUM!</v>
      </c>
      <c r="N773" s="216"/>
      <c r="O773" s="217"/>
      <c r="P773" s="188"/>
      <c r="Q773" s="217"/>
      <c r="R773" s="189"/>
      <c r="S773" s="190"/>
      <c r="T773" s="190"/>
      <c r="U773" s="191"/>
      <c r="V773" s="192"/>
      <c r="W773" s="190"/>
      <c r="X773" s="190"/>
      <c r="Y773" s="191"/>
      <c r="Z773" s="192"/>
      <c r="AA773" s="190"/>
      <c r="AB773" s="190"/>
      <c r="AC773" s="191"/>
      <c r="AD773" s="192"/>
      <c r="AE773" s="190"/>
      <c r="AF773" s="190"/>
      <c r="AG773" s="191"/>
      <c r="AH773" s="193"/>
      <c r="AI773" s="190"/>
      <c r="AJ773" s="190"/>
      <c r="AK773" s="374"/>
      <c r="AL773" s="348"/>
      <c r="AM773" s="354"/>
      <c r="AN773" s="354"/>
      <c r="AO773" s="354"/>
      <c r="AP773" s="354"/>
      <c r="AQ773" s="350"/>
      <c r="AR773" s="769"/>
      <c r="AS773" s="769"/>
      <c r="AT773" s="769"/>
      <c r="BM773" s="335"/>
    </row>
    <row r="774" spans="1:65" ht="22.25" customHeight="1">
      <c r="A774" s="181">
        <f t="shared" si="250"/>
        <v>45292</v>
      </c>
      <c r="B774" s="485"/>
      <c r="C774" s="490"/>
      <c r="D774" s="521"/>
      <c r="E774" s="218" t="e">
        <f>DATE(YEAR(E773),MONTH(E773)+3,DAY(E773)-1)</f>
        <v>#NUM!</v>
      </c>
      <c r="F774" s="212" t="e">
        <f t="shared" si="267"/>
        <v>#NUM!</v>
      </c>
      <c r="G774" s="213" t="e">
        <f t="shared" si="268"/>
        <v>#NUM!</v>
      </c>
      <c r="H774" s="212" t="e">
        <f t="shared" si="269"/>
        <v>#NUM!</v>
      </c>
      <c r="I774" s="219">
        <f>MAX(I775:I778)</f>
        <v>9</v>
      </c>
      <c r="J774" s="220" t="e">
        <f>DATE(YEAR(J773)+1,MONTH(J773),DAY(J773))</f>
        <v>#NUM!</v>
      </c>
      <c r="K774" s="501" t="str">
        <f t="shared" si="251"/>
        <v>+Inflat.-P</v>
      </c>
      <c r="L774" s="508" t="e">
        <f>IF(M769="Stufe A",IF(AND(L770="Auswahl treffen",D773&gt;=0,D773&lt;=1000),J769,IF(AND(L770="Vermögend und ambulant",D773&gt;8,D773&lt;=1000),130,IF(AND(L770="Vermögend und ambulant",D773&gt;4,D773&lt;=8),158,IF(AND(L770="Vermögend und ambulant",D773&gt;2,D773&lt;=4),192,IF(AND(L770="Vermögend und ambulant",D773&gt;1,D773&lt;=2),208,IF(AND(L770="Vermögend und ambulant",D773&gt;0,D773&lt;=1),298,IF(AND(L770="Vermögend und stationär",D773&gt;8,D773&lt;=1000),78,IF(AND(L770="Vermögend und stationär",D773&gt;4,D773&lt;=8),91,IF(AND(L770="Vermögend und stationär",D773&gt;2,D773&lt;=4),140,IF(AND(L770="Vermögend und stationär",D773&gt;1,D773&lt;=2),158,IF(AND(L770="Vermögend und stationär",D773&gt;0,D773&lt;=1),200,IF(AND(L770="Mittellos und ambulant",D773&gt;8,D773&lt;=1000),105,IF(AND(L770="Mittellos und ambulant",D773&gt;4,D773&lt;=8),122,IF(AND(L770="Mittellos und ambulant",D773&gt;2,D773&lt;=4),151,IF(AND(L770="Mittellos und ambulant",D773&gt;1,D773&lt;=2),170,IF(AND(L770="Mittellos und ambulant",D773&gt;0,D773&lt;=1),208,IF(AND(L770="Mittellos und stationär",D773&gt;8,D773&lt;=1000),62,IF(AND(L770="Mittellos und stationär",D773&gt;4,D773&lt;=8),87,IF(AND(L770="Mittellos und stationär",D773&gt;2,D773&lt;=4),124,IF(AND(L770="Mittellos und stationär",D773&gt;1,D773&lt;=2),129,IF(AND(L770="Mittellos und stationär",D773&gt;0,D773&lt;=1),194,""))))))))))))))))))))),IF(M769="Stufe B",IF(AND(L770="Auswahl treffen",D773&gt;=0,D773&lt;=1000),J769,IF(AND(L770="Vermögend und ambulant",D773&gt;8,D773&lt;=1000),161,IF(AND(L770="Vermögend und ambulant",D773&gt;4,D773&lt;=8),196,IF(AND(L770="Vermögend und ambulant",D773&gt;2,D773&lt;=4),238,IF(AND(L770="Vermögend und ambulant",D773&gt;1,D773&lt;=2),258,IF(AND(L770="Vermögend und ambulant",D773&gt;0,D773&lt;=1),370,IF(AND(L770="Vermögend und stationär",D773&gt;8,D773&lt;=1000),96,IF(AND(L770="Vermögend und stationär",D773&gt;4,D773&lt;=8),113,IF(AND(L770="Vermögend und stationär",D773&gt;2,D773&lt;=4),174,IF(AND(L770="Vermögend und stationär",D773&gt;1,D773&lt;=2),196,IF(AND(L770="Vermögend und stationär",D773&gt;0,D773&lt;=1),249,IF(AND(L770="Mittellos und ambulant",D773&gt;8,D773&lt;=1000),130,IF(AND(L770="Mittellos und ambulant",D773&gt;4,D773&lt;=8),151,IF(AND(L770="Mittellos und ambulant",D773&gt;2,D773&lt;=4),188,IF(AND(L770="Mittellos und ambulant",D773&gt;1,D773&lt;=2),211,IF(AND(L770="Mittellos und ambulant",D773&gt;0,D773&lt;=1),258,IF(AND(L770="Mittellos und stationär",D773&gt;8,D773&lt;=1000),78,IF(AND(L770="Mittellos und stationär",D773&gt;4,D773&lt;=8),107,IF(AND(L770="Mittellos und stationär",D773&gt;2,D773&lt;=4),154,IF(AND(L770="Mittellos und stationär",D773&gt;1,D773&lt;=2),158,IF(AND(L770="Mittellos und stationär",D773&gt;0,D773&lt;=1),241,""))))))))))))))))))))),IF(M769="Stufe C",IF(AND(L770="Auswahl treffen",D773&gt;=0,D773&lt;=1000),J769,IF(AND(L770="Vermögend und ambulant",D773&gt;8,D773&lt;=1000),211,IF(AND(L770="Vermögend und ambulant",D773&gt;4,D773&lt;=8),257,IF(AND(L770="Vermögend und ambulant",D773&gt;2,D773&lt;=4),312,IF(AND(L770="Vermögend und ambulant",D773&gt;1,D773&lt;=2),339,IF(AND(L770="Vermögend und ambulant",D773&gt;0,D773&lt;=1),486,IF(AND(L770="Vermögend und stationär",D773&gt;8,D773&lt;=1000),127,IF(AND(L770="Vermögend und stationär",D773&gt;4,D773&lt;=8),149,IF(AND(L770="Vermögend und stationär",D773&gt;2,D773&lt;=4),229,IF(AND(L770="Vermögend und stationär",D773&gt;1,D773&lt;=2),257,IF(AND(L770="Vermögend und stationär",D773&gt;0,D773&lt;=1),327,IF(AND(L770="Mittellos und ambulant",D773&gt;8,D773&lt;=1000),171,IF(AND(L770="Mittellos und ambulant",D773&gt;4,D773&lt;=8),198,IF(AND(L770="Mittellos und ambulant",D773&gt;2,D773&lt;=4),246,IF(AND(L770="Mittellos und ambulant",D773&gt;1,D773&lt;=2),277,IF(AND(L770="Mittellos und ambulant",D773&gt;0,D773&lt;=1),339,IF(AND(L770="Mittellos und stationär",D773&gt;8,D773&lt;=1000),102,IF(AND(L770="Mittellos und stationär",D773&gt;4,D773&lt;=8),141,IF(AND(L770="Mittellos und stationär",D773&gt;2,D773&lt;=4),202,IF(AND(L770="Mittellos und stationär",D773&gt;1,D773&lt;=2),208,IF(AND(L770="Mittellos und stationär",D773&gt;0,D773&lt;=1),317,""))))))))))))))))))))),"")))*3+(J769*90)</f>
        <v>#NUM!</v>
      </c>
      <c r="M774" s="507" t="str">
        <f>CONCATENATE(K774, K773)</f>
        <v>+Inflat.-P</v>
      </c>
      <c r="N774" s="216"/>
      <c r="O774" s="188" t="s">
        <v>118</v>
      </c>
      <c r="P774" s="188"/>
      <c r="Q774" s="221"/>
      <c r="R774" s="199"/>
      <c r="S774" s="190"/>
      <c r="T774" s="190"/>
      <c r="U774" s="191"/>
      <c r="V774" s="192"/>
      <c r="W774" s="222" t="s">
        <v>118</v>
      </c>
      <c r="X774" s="222" t="s">
        <v>117</v>
      </c>
      <c r="Y774" s="191" t="s">
        <v>26</v>
      </c>
      <c r="Z774" s="192"/>
      <c r="AA774" s="190"/>
      <c r="AB774" s="190"/>
      <c r="AC774" s="191"/>
      <c r="AD774" s="192"/>
      <c r="AE774" s="190"/>
      <c r="AF774" s="190"/>
      <c r="AG774" s="191"/>
      <c r="AH774" s="193"/>
      <c r="AI774" s="190"/>
      <c r="AJ774" s="190"/>
      <c r="AK774" s="374"/>
      <c r="AL774" s="348" t="s">
        <v>149</v>
      </c>
      <c r="AM774" s="354"/>
      <c r="AN774" s="354">
        <f>IF(SUM(O770:O778)=SUM(W770:W778), 0, SUM(O770:O778)-SUM(W770:W778))</f>
        <v>0</v>
      </c>
      <c r="AO774" s="354"/>
      <c r="AP774" s="354"/>
      <c r="AQ774" s="350">
        <f>AM774+AN774+AO774+AP774</f>
        <v>0</v>
      </c>
      <c r="AR774" s="769"/>
      <c r="AS774" s="769"/>
      <c r="AT774" s="769"/>
      <c r="BM774" s="335"/>
    </row>
    <row r="775" spans="1:65" ht="22.25" customHeight="1">
      <c r="A775" s="181">
        <f t="shared" si="250"/>
        <v>45292</v>
      </c>
      <c r="B775" s="484">
        <f>YEAR($A776)-1</f>
        <v>2023</v>
      </c>
      <c r="C775" s="489" t="s">
        <v>158</v>
      </c>
      <c r="D775" s="520" t="e">
        <f>D773+1</f>
        <v>#NUM!</v>
      </c>
      <c r="E775" s="194" t="e">
        <f>DATE(YEAR(E774),MONTH(E774),DAY(E774)+1)</f>
        <v>#NUM!</v>
      </c>
      <c r="F775" s="195" t="e">
        <f t="shared" si="267"/>
        <v>#NUM!</v>
      </c>
      <c r="G775" s="196" t="e">
        <f t="shared" si="268"/>
        <v>#NUM!</v>
      </c>
      <c r="H775" s="195" t="e">
        <f t="shared" si="269"/>
        <v>#NUM!</v>
      </c>
      <c r="I775" s="197">
        <f>IF(J777&lt;13,J777,"")</f>
        <v>9</v>
      </c>
      <c r="J775" s="224">
        <f>G770</f>
        <v>0</v>
      </c>
      <c r="K775" s="501" t="str">
        <f t="shared" si="251"/>
        <v/>
      </c>
      <c r="L775" s="471"/>
      <c r="M775" s="473" t="e">
        <f ca="1">SUM(J770-E776)&amp;" Tage"</f>
        <v>#NUM!</v>
      </c>
      <c r="N775" s="200"/>
      <c r="O775" s="201"/>
      <c r="P775" s="201"/>
      <c r="Q775" s="202"/>
      <c r="R775" s="189"/>
      <c r="S775" s="203"/>
      <c r="T775" s="203"/>
      <c r="U775" s="204"/>
      <c r="V775" s="192"/>
      <c r="W775" s="203"/>
      <c r="X775" s="203"/>
      <c r="Y775" s="204"/>
      <c r="Z775" s="192"/>
      <c r="AA775" s="203"/>
      <c r="AB775" s="203"/>
      <c r="AC775" s="204"/>
      <c r="AD775" s="192"/>
      <c r="AE775" s="203"/>
      <c r="AF775" s="203"/>
      <c r="AG775" s="204"/>
      <c r="AH775" s="193"/>
      <c r="AI775" s="203"/>
      <c r="AJ775" s="203"/>
      <c r="AK775" s="375"/>
      <c r="AL775" s="348"/>
      <c r="AM775" s="354"/>
      <c r="AN775" s="354"/>
      <c r="AO775" s="354"/>
      <c r="AP775" s="354"/>
      <c r="AQ775" s="350"/>
      <c r="AR775" s="769"/>
      <c r="AS775" s="769"/>
      <c r="AT775" s="769"/>
      <c r="BM775" s="335"/>
    </row>
    <row r="776" spans="1:65" ht="22.25" customHeight="1">
      <c r="A776" s="181">
        <f t="shared" si="250"/>
        <v>45292</v>
      </c>
      <c r="B776" s="485"/>
      <c r="C776" s="490"/>
      <c r="D776" s="521"/>
      <c r="E776" s="194" t="e">
        <f>DATE(YEAR(E775),MONTH(E775)+3,DAY(E775)-1)</f>
        <v>#NUM!</v>
      </c>
      <c r="F776" s="195" t="e">
        <f t="shared" si="267"/>
        <v>#NUM!</v>
      </c>
      <c r="G776" s="196" t="e">
        <f t="shared" si="268"/>
        <v>#NUM!</v>
      </c>
      <c r="H776" s="195" t="e">
        <f t="shared" si="269"/>
        <v>#NUM!</v>
      </c>
      <c r="I776" s="244">
        <f>IF(J778&lt;13,J778,"")</f>
        <v>6</v>
      </c>
      <c r="J776" s="224">
        <f>J775+3</f>
        <v>3</v>
      </c>
      <c r="K776" s="506" t="str">
        <f t="shared" si="251"/>
        <v>+Inflat.-P</v>
      </c>
      <c r="L776" s="511" t="e">
        <f>IF(M769="Stufe A",IF(AND(L770="Auswahl treffen",D775&gt;=0,D775&lt;=1000),J769,IF(AND(L770="Vermögend und ambulant",D775&gt;8,D775&lt;=1000),130,IF(AND(L770="Vermögend und ambulant",D775&gt;4,D775&lt;=8),158,IF(AND(L770="Vermögend und ambulant",D775&gt;2,D775&lt;=4),192,IF(AND(L770="Vermögend und ambulant",D775&gt;1,D775&lt;=2),208,IF(AND(L770="Vermögend und ambulant",D775&gt;0,D775&lt;=1),298,IF(AND(L770="Vermögend und stationär",D775&gt;8,D775&lt;=1000),78,IF(AND(L770="Vermögend und stationär",D775&gt;4,D775&lt;=8),91,IF(AND(L770="Vermögend und stationär",D775&gt;2,D775&lt;=4),140,IF(AND(L770="Vermögend und stationär",D775&gt;1,D775&lt;=2),158,IF(AND(L770="Vermögend und stationär",D775&gt;0,D775&lt;=1),200,IF(AND(L770="Mittellos und ambulant",D775&gt;8,D775&lt;=1000),105,IF(AND(L770="Mittellos und ambulant",D775&gt;4,D775&lt;=8),122,IF(AND(L770="Mittellos und ambulant",D775&gt;2,D775&lt;=4),151,IF(AND(L770="Mittellos und ambulant",D775&gt;1,D775&lt;=2),170,IF(AND(L770="Mittellos und ambulant",D775&gt;0,D775&lt;=1),208,IF(AND(L770="Mittellos und stationär",D775&gt;8,D775&lt;=1000),62,IF(AND(L770="Mittellos und stationär",D775&gt;4,D775&lt;=8),87,IF(AND(L770="Mittellos und stationär",D775&gt;2,D775&lt;=4),124,IF(AND(L770="Mittellos und stationär",D775&gt;1,D775&lt;=2),129,IF(AND(L770="Mittellos und stationär",D775&gt;0,D775&lt;=1),194,""))))))))))))))))))))),IF(M769="Stufe B",IF(AND(L770="Auswahl treffen",D775&gt;=0,D775&lt;=1000),J769,IF(AND(L770="Vermögend und ambulant",D775&gt;8,D775&lt;=1000),161,IF(AND(L770="Vermögend und ambulant",D775&gt;4,D775&lt;=8),196,IF(AND(L770="Vermögend und ambulant",D775&gt;2,D775&lt;=4),238,IF(AND(L770="Vermögend und ambulant",D775&gt;1,D775&lt;=2),258,IF(AND(L770="Vermögend und ambulant",D775&gt;0,D775&lt;=1),370,IF(AND(L770="Vermögend und stationär",D775&gt;8,D775&lt;=1000),96,IF(AND(L770="Vermögend und stationär",D775&gt;4,D775&lt;=8),113,IF(AND(L770="Vermögend und stationär",D775&gt;2,D775&lt;=4),174,IF(AND(L770="Vermögend und stationär",D775&gt;1,D775&lt;=2),196,IF(AND(L770="Vermögend und stationär",D775&gt;0,D775&lt;=1),249,IF(AND(L770="Mittellos und ambulant",D775&gt;8,D775&lt;=1000),130,IF(AND(L770="Mittellos und ambulant",D775&gt;4,D775&lt;=8),151,IF(AND(L770="Mittellos und ambulant",D775&gt;2,D775&lt;=4),188,IF(AND(L770="Mittellos und ambulant",D775&gt;1,D775&lt;=2),211,IF(AND(L770="Mittellos und ambulant",D775&gt;0,D775&lt;=1),258,IF(AND(L770="Mittellos und stationär",D775&gt;8,D775&lt;=1000),78,IF(AND(L770="Mittellos und stationär",D775&gt;4,D775&lt;=8),107,IF(AND(L770="Mittellos und stationär",D775&gt;2,D775&lt;=4),154,IF(AND(L770="Mittellos und stationär",D775&gt;1,D775&lt;=2),158,IF(AND(L770="Mittellos und stationär",D775&gt;0,D775&lt;=1),241,""))))))))))))))))))))),IF(M769="Stufe C",IF(AND(L770="Auswahl treffen",D775&gt;=0,D775&lt;=1000),J769,IF(AND(L770="Vermögend und ambulant",D775&gt;8,D775&lt;=1000),211,IF(AND(L770="Vermögend und ambulant",D775&gt;4,D775&lt;=8),257,IF(AND(L770="Vermögend und ambulant",D775&gt;2,D775&lt;=4),312,IF(AND(L770="Vermögend und ambulant",D775&gt;1,D775&lt;=2),339,IF(AND(L770="Vermögend und ambulant",D775&gt;0,D775&lt;=1),486,IF(AND(L770="Vermögend und stationär",D775&gt;8,D775&lt;=1000),127,IF(AND(L770="Vermögend und stationär",D775&gt;4,D775&lt;=8),149,IF(AND(L770="Vermögend und stationär",D775&gt;2,D775&lt;=4),229,IF(AND(L770="Vermögend und stationär",D775&gt;1,D775&lt;=2),257,IF(AND(L770="Vermögend und stationär",D775&gt;0,D775&lt;=1),327,IF(AND(L770="Mittellos und ambulant",D775&gt;8,D775&lt;=1000),171,IF(AND(L770="Mittellos und ambulant",D775&gt;4,D775&lt;=8),198,IF(AND(L770="Mittellos und ambulant",D775&gt;2,D775&lt;=4),246,IF(AND(L770="Mittellos und ambulant",D775&gt;1,D775&lt;=2),277,IF(AND(L770="Mittellos und ambulant",D775&gt;0,D775&lt;=1),339,IF(AND(L770="Mittellos und stationär",D775&gt;8,D775&lt;=1000),102,IF(AND(L770="Mittellos und stationär",D775&gt;4,D775&lt;=8),141,IF(AND(L770="Mittellos und stationär",D775&gt;2,D775&lt;=4),202,IF(AND(L770="Mittellos und stationär",D775&gt;1,D775&lt;=2),208,IF(AND(L770="Mittellos und stationär",D775&gt;0,D775&lt;=1),317,""))))))))))))))))))))),"")))*3+(J769*90)</f>
        <v>#NUM!</v>
      </c>
      <c r="M776" s="507" t="str">
        <f>CONCATENATE(K776, K775)</f>
        <v>+Inflat.-P</v>
      </c>
      <c r="N776" s="206"/>
      <c r="O776" s="207"/>
      <c r="P776" s="206" t="s">
        <v>118</v>
      </c>
      <c r="Q776" s="226"/>
      <c r="R776" s="189"/>
      <c r="S776" s="203"/>
      <c r="T776" s="203"/>
      <c r="U776" s="204"/>
      <c r="V776" s="192"/>
      <c r="W776" s="203"/>
      <c r="X776" s="203"/>
      <c r="Y776" s="204"/>
      <c r="Z776" s="192"/>
      <c r="AA776" s="209" t="s">
        <v>118</v>
      </c>
      <c r="AB776" s="209" t="s">
        <v>117</v>
      </c>
      <c r="AC776" s="204" t="s">
        <v>26</v>
      </c>
      <c r="AD776" s="192"/>
      <c r="AE776" s="203"/>
      <c r="AF776" s="203"/>
      <c r="AG776" s="204"/>
      <c r="AH776" s="193"/>
      <c r="AI776" s="203"/>
      <c r="AJ776" s="203"/>
      <c r="AK776" s="375"/>
      <c r="AL776" s="348" t="s">
        <v>150</v>
      </c>
      <c r="AM776" s="354"/>
      <c r="AN776" s="354"/>
      <c r="AO776" s="354">
        <f>IF(SUM(P770:P778)=SUM(AA770:AA778), 0, SUM(P770:P778)-SUM(AA770:AA778))</f>
        <v>0</v>
      </c>
      <c r="AP776" s="354"/>
      <c r="AQ776" s="350">
        <f>AM776+AN776+AO776+AP776</f>
        <v>0</v>
      </c>
      <c r="AR776" s="769"/>
      <c r="AS776" s="769"/>
      <c r="AT776" s="769"/>
      <c r="BM776" s="335"/>
    </row>
    <row r="777" spans="1:65" ht="22.25" customHeight="1">
      <c r="A777" s="181">
        <f t="shared" ref="A777:A840" si="270">$A776</f>
        <v>45292</v>
      </c>
      <c r="B777" s="486"/>
      <c r="C777" s="489" t="s">
        <v>158</v>
      </c>
      <c r="D777" s="522" t="e">
        <f>D775+1</f>
        <v>#NUM!</v>
      </c>
      <c r="E777" s="211" t="e">
        <f>DATE(YEAR(E776),MONTH(E776),DAY(E776)+1)</f>
        <v>#NUM!</v>
      </c>
      <c r="F777" s="227" t="e">
        <f t="shared" si="267"/>
        <v>#NUM!</v>
      </c>
      <c r="G777" s="228" t="e">
        <f t="shared" si="268"/>
        <v>#NUM!</v>
      </c>
      <c r="H777" s="227" t="e">
        <f t="shared" si="269"/>
        <v>#NUM!</v>
      </c>
      <c r="I777" s="231">
        <f>IF(J776&lt;13,J776,"")</f>
        <v>3</v>
      </c>
      <c r="J777" s="230">
        <f>J778+3</f>
        <v>9</v>
      </c>
      <c r="K777" s="501" t="str">
        <f t="shared" si="251"/>
        <v/>
      </c>
      <c r="L777" s="471"/>
      <c r="M777" s="473" t="e">
        <f ca="1">SUM(J770-E778)&amp;" Tage"</f>
        <v>#NUM!</v>
      </c>
      <c r="N777" s="216"/>
      <c r="O777" s="188"/>
      <c r="P777" s="188"/>
      <c r="Q777" s="217"/>
      <c r="R777" s="189"/>
      <c r="S777" s="190"/>
      <c r="T777" s="190"/>
      <c r="U777" s="191"/>
      <c r="V777" s="192"/>
      <c r="W777" s="190"/>
      <c r="X777" s="190"/>
      <c r="Y777" s="191"/>
      <c r="Z777" s="192"/>
      <c r="AA777" s="190"/>
      <c r="AB777" s="190"/>
      <c r="AC777" s="191"/>
      <c r="AD777" s="192"/>
      <c r="AE777" s="190"/>
      <c r="AF777" s="190"/>
      <c r="AG777" s="191"/>
      <c r="AH777" s="193"/>
      <c r="AI777" s="190"/>
      <c r="AJ777" s="190"/>
      <c r="AK777" s="374"/>
      <c r="AL777" s="348"/>
      <c r="AM777" s="354"/>
      <c r="AN777" s="354"/>
      <c r="AO777" s="354"/>
      <c r="AP777" s="354"/>
      <c r="AQ777" s="350"/>
      <c r="AR777" s="769"/>
      <c r="AS777" s="769"/>
      <c r="AT777" s="769"/>
      <c r="BM777" s="335"/>
    </row>
    <row r="778" spans="1:65" ht="22.25" customHeight="1">
      <c r="A778" s="181">
        <f t="shared" si="270"/>
        <v>45292</v>
      </c>
      <c r="B778" s="485"/>
      <c r="C778" s="490"/>
      <c r="D778" s="521"/>
      <c r="E778" s="218" t="e">
        <f>DATE(YEAR(E777),MONTH(E777)+3,DAY(E777)-1)</f>
        <v>#NUM!</v>
      </c>
      <c r="F778" s="227" t="e">
        <f t="shared" si="267"/>
        <v>#NUM!</v>
      </c>
      <c r="G778" s="228" t="e">
        <f t="shared" si="268"/>
        <v>#NUM!</v>
      </c>
      <c r="H778" s="227" t="e">
        <f t="shared" si="269"/>
        <v>#NUM!</v>
      </c>
      <c r="I778" s="231">
        <f>IF(J775&lt;13,J775,"")</f>
        <v>0</v>
      </c>
      <c r="J778" s="230">
        <f>J776+3</f>
        <v>6</v>
      </c>
      <c r="K778" s="506" t="str">
        <f t="shared" si="251"/>
        <v>+Inflat.-P</v>
      </c>
      <c r="L778" s="508" t="e">
        <f>IF(M769="Stufe A",IF(AND(L770="Auswahl treffen",D777&gt;=0,D777&lt;=1000),J769,IF(AND(L770="Vermögend und ambulant",D777&gt;8,D777&lt;=1000),130,IF(AND(L770="Vermögend und ambulant",D777&gt;4,D777&lt;=8),158,IF(AND(L770="Vermögend und ambulant",D777&gt;2,D777&lt;=4),192,IF(AND(L770="Vermögend und ambulant",D777&gt;1,D777&lt;=2),208,IF(AND(L770="Vermögend und ambulant",D777&gt;0,D777&lt;=1),298,IF(AND(L770="Vermögend und stationär",D777&gt;8,D777&lt;=1000),78,IF(AND(L770="Vermögend und stationär",D777&gt;4,D777&lt;=8),91,IF(AND(L770="Vermögend und stationär",D777&gt;2,D777&lt;=4),140,IF(AND(L770="Vermögend und stationär",D777&gt;1,D777&lt;=2),158,IF(AND(L770="Vermögend und stationär",D777&gt;0,D777&lt;=1),200,IF(AND(L770="Mittellos und ambulant",D777&gt;8,D777&lt;=1000),105,IF(AND(L770="Mittellos und ambulant",D777&gt;4,D777&lt;=8),122,IF(AND(L770="Mittellos und ambulant",D777&gt;2,D777&lt;=4),151,IF(AND(L770="Mittellos und ambulant",D777&gt;1,D777&lt;=2),170,IF(AND(L770="Mittellos und ambulant",D777&gt;0,D777&lt;=1),208,IF(AND(L770="Mittellos und stationär",D777&gt;8,D777&lt;=1000),62,IF(AND(L770="Mittellos und stationär",D777&gt;4,D777&lt;=8),87,IF(AND(L770="Mittellos und stationär",D777&gt;2,D777&lt;=4),124,IF(AND(L770="Mittellos und stationär",D777&gt;1,D777&lt;=2),129,IF(AND(L770="Mittellos und stationär",D777&gt;0,D777&lt;=1),194,""))))))))))))))))))))),IF(M769="Stufe B",IF(AND(L770="Auswahl treffen",D777&gt;=0,D777&lt;=1000),J769,IF(AND(L770="Vermögend und ambulant",D777&gt;8,D777&lt;=1000),161,IF(AND(L770="Vermögend und ambulant",D777&gt;4,D777&lt;=8),196,IF(AND(L770="Vermögend und ambulant",D777&gt;2,D777&lt;=4),238,IF(AND(L770="Vermögend und ambulant",D777&gt;1,D777&lt;=2),258,IF(AND(L770="Vermögend und ambulant",D777&gt;0,D777&lt;=1),370,IF(AND(L770="Vermögend und stationär",D777&gt;8,D777&lt;=1000),96,IF(AND(L770="Vermögend und stationär",D777&gt;4,D777&lt;=8),113,IF(AND(L770="Vermögend und stationär",D777&gt;2,D777&lt;=4),174,IF(AND(L770="Vermögend und stationär",D777&gt;1,D777&lt;=2),196,IF(AND(L770="Vermögend und stationär",D777&gt;0,D777&lt;=1),249,IF(AND(L770="Mittellos und ambulant",D777&gt;8,D777&lt;=1000),130,IF(AND(L770="Mittellos und ambulant",D777&gt;4,D777&lt;=8),151,IF(AND(L770="Mittellos und ambulant",D777&gt;2,D777&lt;=4),188,IF(AND(L770="Mittellos und ambulant",D777&gt;1,D777&lt;=2),211,IF(AND(L770="Mittellos und ambulant",D777&gt;0,D777&lt;=1),258,IF(AND(L770="Mittellos und stationär",D777&gt;8,D777&lt;=1000),78,IF(AND(L770="Mittellos und stationär",D777&gt;4,D777&lt;=8),107,IF(AND(L770="Mittellos und stationär",D777&gt;2,D777&lt;=4),154,IF(AND(L770="Mittellos und stationär",D777&gt;1,D777&lt;=2),158,IF(AND(L770="Mittellos und stationär",D777&gt;0,D777&lt;=1),241,""))))))))))))))))))))),IF(M769="Stufe C",IF(AND(L770="Auswahl treffen",D777&gt;=0,D777&lt;=1000),J769,IF(AND(L770="Vermögend und ambulant",D777&gt;8,D777&lt;=1000),211,IF(AND(L770="Vermögend und ambulant",D777&gt;4,D777&lt;=8),257,IF(AND(L770="Vermögend und ambulant",D777&gt;2,D777&lt;=4),312,IF(AND(L770="Vermögend und ambulant",D777&gt;1,D777&lt;=2),339,IF(AND(L770="Vermögend und ambulant",D777&gt;0,D777&lt;=1),486,IF(AND(L770="Vermögend und stationär",D777&gt;8,D777&lt;=1000),127,IF(AND(L770="Vermögend und stationär",D777&gt;4,D777&lt;=8),149,IF(AND(L770="Vermögend und stationär",D777&gt;2,D777&lt;=4),229,IF(AND(L770="Vermögend und stationär",D777&gt;1,D777&lt;=2),257,IF(AND(L770="Vermögend und stationär",D777&gt;0,D777&lt;=1),327,IF(AND(L770="Mittellos und ambulant",D777&gt;8,D777&lt;=1000),171,IF(AND(L770="Mittellos und ambulant",D777&gt;4,D777&lt;=8),198,IF(AND(L770="Mittellos und ambulant",D777&gt;2,D777&lt;=4),246,IF(AND(L770="Mittellos und ambulant",D777&gt;1,D777&lt;=2),277,IF(AND(L770="Mittellos und ambulant",D777&gt;0,D777&lt;=1),339,IF(AND(L770="Mittellos und stationär",D777&gt;8,D777&lt;=1000),102,IF(AND(L770="Mittellos und stationär",D777&gt;4,D777&lt;=8),141,IF(AND(L770="Mittellos und stationär",D777&gt;2,D777&lt;=4),202,IF(AND(L770="Mittellos und stationär",D777&gt;1,D777&lt;=2),208,IF(AND(L770="Mittellos und stationär",D777&gt;0,D777&lt;=1),317,""))))))))))))))))))))),"")))*3+(J769*90)</f>
        <v>#NUM!</v>
      </c>
      <c r="M778" s="507" t="str">
        <f>CONCATENATE(K778, K777)</f>
        <v>+Inflat.-P</v>
      </c>
      <c r="N778" s="216"/>
      <c r="O778" s="188"/>
      <c r="P778" s="188"/>
      <c r="Q778" s="217" t="s">
        <v>118</v>
      </c>
      <c r="R778" s="189"/>
      <c r="S778" s="190"/>
      <c r="T778" s="190"/>
      <c r="U778" s="191"/>
      <c r="V778" s="192"/>
      <c r="W778" s="190"/>
      <c r="X778" s="190"/>
      <c r="Y778" s="191"/>
      <c r="Z778" s="192"/>
      <c r="AA778" s="190"/>
      <c r="AB778" s="190"/>
      <c r="AC778" s="191"/>
      <c r="AD778" s="192"/>
      <c r="AE778" s="190" t="s">
        <v>118</v>
      </c>
      <c r="AF778" s="190" t="s">
        <v>117</v>
      </c>
      <c r="AG778" s="191" t="s">
        <v>26</v>
      </c>
      <c r="AH778" s="193"/>
      <c r="AI778" s="190" t="s">
        <v>118</v>
      </c>
      <c r="AJ778" s="190" t="s">
        <v>117</v>
      </c>
      <c r="AK778" s="374" t="s">
        <v>26</v>
      </c>
      <c r="AL778" s="348" t="s">
        <v>151</v>
      </c>
      <c r="AM778" s="354"/>
      <c r="AN778" s="354"/>
      <c r="AO778" s="354"/>
      <c r="AP778" s="354">
        <f>IF(SUM(Q770:Q778)=SUM(AE770:AE778,AI770:AI778), 0, SUM(Q770:Q778)-SUM(AE770:AE778,AI770:AI778))</f>
        <v>0</v>
      </c>
      <c r="AQ778" s="350">
        <f>AM778+AN778+AO778+AP778</f>
        <v>0</v>
      </c>
      <c r="AR778" s="769"/>
      <c r="AS778" s="769"/>
      <c r="AT778" s="769"/>
      <c r="BM778" s="335"/>
    </row>
    <row r="779" spans="1:65" ht="22" customHeight="1">
      <c r="A779" s="181">
        <f t="shared" si="270"/>
        <v>45292</v>
      </c>
      <c r="B779" s="232" t="s">
        <v>74</v>
      </c>
      <c r="C779" s="233" t="s">
        <v>75</v>
      </c>
      <c r="D779" s="234" t="s">
        <v>76</v>
      </c>
      <c r="E779" s="235" t="s">
        <v>11</v>
      </c>
      <c r="F779" s="235" t="s">
        <v>4</v>
      </c>
      <c r="G779" s="235" t="s">
        <v>5</v>
      </c>
      <c r="H779" s="235" t="s">
        <v>6</v>
      </c>
      <c r="I779" s="236" t="s">
        <v>77</v>
      </c>
      <c r="J779" s="306"/>
      <c r="K779" s="501" t="str">
        <f t="shared" si="251"/>
        <v/>
      </c>
      <c r="L779" s="306" t="str">
        <f>IFERROR(VLOOKUP(B780,'Aktuelle Einnahmen'!A2:J104,10,0),"")</f>
        <v/>
      </c>
      <c r="M779" s="510" t="str">
        <f>M769</f>
        <v>Stufe C</v>
      </c>
      <c r="N779" s="237"/>
      <c r="O779" s="238"/>
      <c r="P779" s="238"/>
      <c r="Q779" s="239"/>
      <c r="R779" s="240"/>
      <c r="S779" s="241"/>
      <c r="T779" s="241"/>
      <c r="U779" s="242"/>
      <c r="V779" s="243"/>
      <c r="W779" s="241"/>
      <c r="X779" s="241"/>
      <c r="Y779" s="242"/>
      <c r="Z779" s="243"/>
      <c r="AA779" s="241"/>
      <c r="AB779" s="241"/>
      <c r="AC779" s="242"/>
      <c r="AD779" s="243"/>
      <c r="AE779" s="241"/>
      <c r="AF779" s="241"/>
      <c r="AG779" s="242"/>
      <c r="AH779" s="240"/>
      <c r="AI779" s="241"/>
      <c r="AJ779" s="241"/>
      <c r="AK779" s="377"/>
      <c r="AL779" s="347"/>
      <c r="AM779" s="353"/>
      <c r="AN779" s="353"/>
      <c r="AO779" s="353"/>
      <c r="AP779" s="353"/>
      <c r="AQ779" s="349"/>
      <c r="AR779" s="768"/>
      <c r="AS779" s="768"/>
      <c r="AT779" s="768"/>
      <c r="BM779" s="335"/>
    </row>
    <row r="780" spans="1:65" ht="23" customHeight="1">
      <c r="A780" s="181">
        <f t="shared" si="270"/>
        <v>45292</v>
      </c>
      <c r="B780" s="182">
        <v>78</v>
      </c>
      <c r="C780" s="245">
        <f>IFERROR(VLOOKUP($B780,'Aktuelle Einnahmen'!A2:G104,3,0),"")</f>
        <v>0</v>
      </c>
      <c r="D780" s="246">
        <f>IFERROR(VLOOKUP($B780,'Aktuelle Einnahmen'!A2:G104,2,0),"")</f>
        <v>0</v>
      </c>
      <c r="E780" s="247">
        <f>IFERROR(VLOOKUP($B780,'Aktuelle Einnahmen'!A2:G104,4,0),"")</f>
        <v>0</v>
      </c>
      <c r="F780" s="94">
        <f>IFERROR(VLOOKUP($B780,'Aktuelle Einnahmen'!A2:G104,5,0),"")</f>
        <v>0</v>
      </c>
      <c r="G780" s="94">
        <f>IFERROR(VLOOKUP($B780,'Aktuelle Einnahmen'!A2:G104,6,0),"")</f>
        <v>0</v>
      </c>
      <c r="H780" s="94">
        <f>IFERROR(VLOOKUP($B780,'Aktuelle Einnahmen'!A2:G104,7,0),"")</f>
        <v>0</v>
      </c>
      <c r="I780" s="186" t="e">
        <f>DATE(H780,G780,F780)</f>
        <v>#NUM!</v>
      </c>
      <c r="J780" s="472">
        <f ca="1">J770</f>
        <v>45475</v>
      </c>
      <c r="K780" s="506" t="str">
        <f t="shared" si="251"/>
        <v>+Inflat.-P</v>
      </c>
      <c r="L780" s="1262" t="str">
        <f>IFERROR(VLOOKUP(B780,'Aktuelle Einnahmen'!A22:I124,9,0),"")</f>
        <v>Auswahl treffen</v>
      </c>
      <c r="M780" s="1263"/>
      <c r="N780" s="261"/>
      <c r="O780" s="261"/>
      <c r="P780" s="261"/>
      <c r="Q780" s="261"/>
      <c r="R780" s="189"/>
      <c r="S780" s="190"/>
      <c r="T780" s="190"/>
      <c r="U780" s="191"/>
      <c r="V780" s="192"/>
      <c r="W780" s="190"/>
      <c r="X780" s="190"/>
      <c r="Y780" s="191"/>
      <c r="Z780" s="192"/>
      <c r="AA780" s="190"/>
      <c r="AB780" s="190"/>
      <c r="AC780" s="191"/>
      <c r="AD780" s="192"/>
      <c r="AE780" s="190"/>
      <c r="AF780" s="190"/>
      <c r="AG780" s="191"/>
      <c r="AH780" s="193"/>
      <c r="AI780" s="190"/>
      <c r="AJ780" s="190"/>
      <c r="AK780" s="374"/>
      <c r="AL780" s="348"/>
      <c r="AM780" s="354"/>
      <c r="AN780" s="354"/>
      <c r="AO780" s="354"/>
      <c r="AP780" s="354"/>
      <c r="AQ780" s="350"/>
      <c r="AR780" s="769"/>
      <c r="AS780" s="769"/>
      <c r="AT780" s="769"/>
      <c r="BM780" s="335"/>
    </row>
    <row r="781" spans="1:65" ht="22.25" customHeight="1">
      <c r="A781" s="181">
        <f t="shared" si="270"/>
        <v>45292</v>
      </c>
      <c r="B781" s="484" t="e">
        <f>DAY(I780)</f>
        <v>#NUM!</v>
      </c>
      <c r="C781" s="489" t="s">
        <v>158</v>
      </c>
      <c r="D781" s="520" t="e">
        <f>(I781*4)+J781/3+1</f>
        <v>#NUM!</v>
      </c>
      <c r="E781" s="194" t="e">
        <f>J783+1</f>
        <v>#NUM!</v>
      </c>
      <c r="F781" s="195" t="e">
        <f t="shared" ref="F781:F788" si="271">DAY(E781)</f>
        <v>#NUM!</v>
      </c>
      <c r="G781" s="196" t="e">
        <f t="shared" ref="G781:G788" si="272">MONTH(E781)</f>
        <v>#NUM!</v>
      </c>
      <c r="H781" s="195" t="e">
        <f t="shared" ref="H781:H788" si="273">YEAR(E781)</f>
        <v>#NUM!</v>
      </c>
      <c r="I781" s="197" t="e">
        <f>H781-(H780+2000)</f>
        <v>#NUM!</v>
      </c>
      <c r="J781" s="198" t="e">
        <f>G781-G780</f>
        <v>#NUM!</v>
      </c>
      <c r="K781" s="506" t="str">
        <f>L779</f>
        <v/>
      </c>
      <c r="L781" s="469"/>
      <c r="M781" s="473" t="e">
        <f ca="1">SUM(J780-E782)&amp;" Tage"</f>
        <v>#NUM!</v>
      </c>
      <c r="N781" s="206"/>
      <c r="O781" s="201"/>
      <c r="P781" s="201"/>
      <c r="Q781" s="202"/>
      <c r="R781" s="189"/>
      <c r="S781" s="203"/>
      <c r="T781" s="203"/>
      <c r="U781" s="204"/>
      <c r="V781" s="192"/>
      <c r="W781" s="203"/>
      <c r="X781" s="203"/>
      <c r="Y781" s="204"/>
      <c r="Z781" s="192"/>
      <c r="AA781" s="203"/>
      <c r="AB781" s="203"/>
      <c r="AC781" s="204"/>
      <c r="AD781" s="192"/>
      <c r="AE781" s="203"/>
      <c r="AF781" s="203"/>
      <c r="AG781" s="204"/>
      <c r="AH781" s="193"/>
      <c r="AI781" s="203"/>
      <c r="AJ781" s="203"/>
      <c r="AK781" s="375"/>
      <c r="AL781" s="348"/>
      <c r="AM781" s="354"/>
      <c r="AN781" s="354"/>
      <c r="AO781" s="354"/>
      <c r="AP781" s="354"/>
      <c r="AQ781" s="350"/>
      <c r="AR781" s="769"/>
      <c r="AS781" s="769"/>
      <c r="AT781" s="769"/>
      <c r="BM781" s="335"/>
    </row>
    <row r="782" spans="1:65" ht="22.25" customHeight="1">
      <c r="A782" s="181">
        <f t="shared" si="270"/>
        <v>45292</v>
      </c>
      <c r="B782" s="485"/>
      <c r="C782" s="490"/>
      <c r="D782" s="521"/>
      <c r="E782" s="194" t="e">
        <f>DATE(YEAR(E781),MONTH(E781)+3,DAY(E781)-1)</f>
        <v>#NUM!</v>
      </c>
      <c r="F782" s="195" t="e">
        <f t="shared" si="271"/>
        <v>#NUM!</v>
      </c>
      <c r="G782" s="196" t="e">
        <f t="shared" si="272"/>
        <v>#NUM!</v>
      </c>
      <c r="H782" s="195" t="e">
        <f t="shared" si="273"/>
        <v>#NUM!</v>
      </c>
      <c r="I782" s="244">
        <v>-1</v>
      </c>
      <c r="J782" s="198" t="e">
        <f>F781-F780</f>
        <v>#NUM!</v>
      </c>
      <c r="K782" s="501" t="str">
        <f t="shared" ref="K782:K845" si="274">K780</f>
        <v>+Inflat.-P</v>
      </c>
      <c r="L782" s="511" t="e">
        <f>IF(M779="Stufe A",IF(AND(L780="Auswahl treffen",D781&gt;=0,D781&lt;=1000),J779,IF(AND(L780="Vermögend und ambulant",D781&gt;8,D781&lt;=1000),130,IF(AND(L780="Vermögend und ambulant",D781&gt;4,D781&lt;=8),158,IF(AND(L780="Vermögend und ambulant",D781&gt;2,D781&lt;=4),192,IF(AND(L780="Vermögend und ambulant",D781&gt;1,D781&lt;=2),208,IF(AND(L780="Vermögend und ambulant",D781&gt;0,D781&lt;=1),298,IF(AND(L780="Vermögend und stationär",D781&gt;8,D781&lt;=1000),78,IF(AND(L780="Vermögend und stationär",D781&gt;4,D781&lt;=8),91,IF(AND(L780="Vermögend und stationär",D781&gt;2,D781&lt;=4),140,IF(AND(L780="Vermögend und stationär",D781&gt;1,D781&lt;=2),158,IF(AND(L780="Vermögend und stationär",D781&gt;0,D781&lt;=1),200,IF(AND(L780="Mittellos und ambulant",D781&gt;8,D781&lt;=1000),105,IF(AND(L780="Mittellos und ambulant",D781&gt;4,D781&lt;=8),122,IF(AND(L780="Mittellos und ambulant",D781&gt;2,D781&lt;=4),151,IF(AND(L780="Mittellos und ambulant",D781&gt;1,D781&lt;=2),170,IF(AND(L780="Mittellos und ambulant",D781&gt;0,D781&lt;=1),208,IF(AND(L780="Mittellos und stationär",D781&gt;8,D781&lt;=1000),62,IF(AND(L780="Mittellos und stationär",D781&gt;4,D781&lt;=8),87,IF(AND(L780="Mittellos und stationär",D781&gt;2,D781&lt;=4),124,IF(AND(L780="Mittellos und stationär",D781&gt;1,D781&lt;=2),129,IF(AND(L780="Mittellos und stationär",D781&gt;0,D781&lt;=1),194,""))))))))))))))))))))),IF(M779="Stufe B",IF(AND(L780="Auswahl treffen",D781&gt;=0,D781&lt;=1000),J779,IF(AND(L780="Vermögend und ambulant",D781&gt;8,D781&lt;=1000),161,IF(AND(L780="Vermögend und ambulant",D781&gt;4,D781&lt;=8),196,IF(AND(L780="Vermögend und ambulant",D781&gt;2,D781&lt;=4),238,IF(AND(L780="Vermögend und ambulant",D781&gt;1,D781&lt;=2),258,IF(AND(L780="Vermögend und ambulant",D781&gt;0,D781&lt;=1),370,IF(AND(L780="Vermögend und stationär",D781&gt;8,D781&lt;=1000),96,IF(AND(L780="Vermögend und stationär",D781&gt;4,D781&lt;=8),113,IF(AND(L780="Vermögend und stationär",D781&gt;2,D781&lt;=4),174,IF(AND(L780="Vermögend und stationär",D781&gt;1,D781&lt;=2),196,IF(AND(L780="Vermögend und stationär",D781&gt;0,D781&lt;=1),249,IF(AND(L780="Mittellos und ambulant",D781&gt;8,D781&lt;=1000),130,IF(AND(L780="Mittellos und ambulant",D781&gt;4,D781&lt;=8),151,IF(AND(L780="Mittellos und ambulant",D781&gt;2,D781&lt;=4),188,IF(AND(L780="Mittellos und ambulant",D781&gt;1,D781&lt;=2),211,IF(AND(L780="Mittellos und ambulant",D781&gt;0,D781&lt;=1),258,IF(AND(L780="Mittellos und stationär",D781&gt;8,D781&lt;=1000),78,IF(AND(L780="Mittellos und stationär",D781&gt;4,D781&lt;=8),107,IF(AND(L780="Mittellos und stationär",D781&gt;2,D781&lt;=4),154,IF(AND(L780="Mittellos und stationär",D781&gt;1,D781&lt;=2),158,IF(AND(L780="Mittellos und stationär",D781&gt;0,D781&lt;=1),241,""))))))))))))))))))))),IF(M779="Stufe C",IF(AND(L780="Auswahl treffen",D781&gt;=0,D781&lt;=1000),J779,IF(AND(L780="Vermögend und ambulant",D781&gt;8,D781&lt;=1000),211,IF(AND(L780="Vermögend und ambulant",D781&gt;4,D781&lt;=8),257,IF(AND(L780="Vermögend und ambulant",D781&gt;2,D781&lt;=4),312,IF(AND(L780="Vermögend und ambulant",D781&gt;1,D781&lt;=2),339,IF(AND(L780="Vermögend und ambulant",D781&gt;0,D781&lt;=1),486,IF(AND(L780="Vermögend und stationär",D781&gt;8,D781&lt;=1000),127,IF(AND(L780="Vermögend und stationär",D781&gt;4,D781&lt;=8),149,IF(AND(L780="Vermögend und stationär",D781&gt;2,D781&lt;=4),229,IF(AND(L780="Vermögend und stationär",D781&gt;1,D781&lt;=2),257,IF(AND(L780="Vermögend und stationär",D781&gt;0,D781&lt;=1),327,IF(AND(L780="Mittellos und ambulant",D781&gt;8,D781&lt;=1000),171,IF(AND(L780="Mittellos und ambulant",D781&gt;4,D781&lt;=8),198,IF(AND(L780="Mittellos und ambulant",D781&gt;2,D781&lt;=4),246,IF(AND(L780="Mittellos und ambulant",D781&gt;1,D781&lt;=2),277,IF(AND(L780="Mittellos und ambulant",D781&gt;0,D781&lt;=1),339,IF(AND(L780="Mittellos und stationär",D781&gt;8,D781&lt;=1000),102,IF(AND(L780="Mittellos und stationär",D781&gt;4,D781&lt;=8),141,IF(AND(L780="Mittellos und stationär",D781&gt;2,D781&lt;=4),202,IF(AND(L780="Mittellos und stationär",D781&gt;1,D781&lt;=2),208,IF(AND(L780="Mittellos und stationär",D781&gt;0,D781&lt;=1),317,""))))))))))))))))))))),"")))*3+(J779*90)</f>
        <v>#NUM!</v>
      </c>
      <c r="M782" s="507" t="str">
        <f>CONCATENATE(K782, K781)</f>
        <v>+Inflat.-P</v>
      </c>
      <c r="N782" s="206" t="s">
        <v>118</v>
      </c>
      <c r="O782" s="207"/>
      <c r="P782" s="207"/>
      <c r="Q782" s="208"/>
      <c r="R782" s="187"/>
      <c r="S782" s="209" t="s">
        <v>118</v>
      </c>
      <c r="T782" s="201" t="s">
        <v>117</v>
      </c>
      <c r="U782" s="210" t="s">
        <v>26</v>
      </c>
      <c r="V782" s="192"/>
      <c r="W782" s="203"/>
      <c r="X782" s="203"/>
      <c r="Y782" s="210"/>
      <c r="Z782" s="192"/>
      <c r="AA782" s="203"/>
      <c r="AB782" s="203"/>
      <c r="AC782" s="210"/>
      <c r="AD782" s="192"/>
      <c r="AE782" s="203"/>
      <c r="AF782" s="203"/>
      <c r="AG782" s="210"/>
      <c r="AH782" s="193"/>
      <c r="AI782" s="203"/>
      <c r="AJ782" s="203"/>
      <c r="AK782" s="376"/>
      <c r="AL782" s="348" t="s">
        <v>148</v>
      </c>
      <c r="AM782" s="354">
        <f>IF(SUM(N780:N788)=SUM(S780:S788), 0, SUM(N780:N788)-SUM(S780:S788))</f>
        <v>0</v>
      </c>
      <c r="AN782" s="354"/>
      <c r="AO782" s="354"/>
      <c r="AP782" s="354"/>
      <c r="AQ782" s="350">
        <f>AM782+AN782+AO782+AP782</f>
        <v>0</v>
      </c>
      <c r="AR782" s="769"/>
      <c r="AS782" s="769"/>
      <c r="AT782" s="769"/>
      <c r="BM782" s="335"/>
    </row>
    <row r="783" spans="1:65" ht="22.25" customHeight="1">
      <c r="A783" s="181">
        <f t="shared" si="270"/>
        <v>45292</v>
      </c>
      <c r="B783" s="484" t="e">
        <f>MONTH(I780)</f>
        <v>#NUM!</v>
      </c>
      <c r="C783" s="489" t="s">
        <v>158</v>
      </c>
      <c r="D783" s="522" t="e">
        <f>D781+1</f>
        <v>#NUM!</v>
      </c>
      <c r="E783" s="211" t="e">
        <f>DATE(YEAR(E782),MONTH(E782),DAY(E782)+1)</f>
        <v>#NUM!</v>
      </c>
      <c r="F783" s="212" t="e">
        <f t="shared" si="271"/>
        <v>#NUM!</v>
      </c>
      <c r="G783" s="213" t="e">
        <f t="shared" si="272"/>
        <v>#NUM!</v>
      </c>
      <c r="H783" s="212" t="e">
        <f t="shared" si="273"/>
        <v>#NUM!</v>
      </c>
      <c r="I783" s="214" t="str">
        <f>IF(D780&lt;&gt;0,"-1T","")</f>
        <v/>
      </c>
      <c r="J783" s="215" t="e">
        <f>DATE($B785,I784,$B781)</f>
        <v>#NUM!</v>
      </c>
      <c r="K783" s="506" t="str">
        <f t="shared" si="274"/>
        <v/>
      </c>
      <c r="L783" s="470"/>
      <c r="M783" s="473" t="e">
        <f ca="1">SUM(J780-E784)&amp;" Tage"</f>
        <v>#NUM!</v>
      </c>
      <c r="N783" s="216"/>
      <c r="O783" s="217"/>
      <c r="P783" s="188"/>
      <c r="Q783" s="217"/>
      <c r="R783" s="189"/>
      <c r="S783" s="190"/>
      <c r="T783" s="190"/>
      <c r="U783" s="191"/>
      <c r="V783" s="192"/>
      <c r="W783" s="190"/>
      <c r="X783" s="190"/>
      <c r="Y783" s="191"/>
      <c r="Z783" s="192"/>
      <c r="AA783" s="190"/>
      <c r="AB783" s="190"/>
      <c r="AC783" s="191"/>
      <c r="AD783" s="192"/>
      <c r="AE783" s="190"/>
      <c r="AF783" s="190"/>
      <c r="AG783" s="191"/>
      <c r="AH783" s="193"/>
      <c r="AI783" s="190"/>
      <c r="AJ783" s="190"/>
      <c r="AK783" s="374"/>
      <c r="AL783" s="348"/>
      <c r="AM783" s="354"/>
      <c r="AN783" s="354"/>
      <c r="AO783" s="354"/>
      <c r="AP783" s="354"/>
      <c r="AQ783" s="350"/>
      <c r="AR783" s="769"/>
      <c r="AS783" s="769"/>
      <c r="AT783" s="769"/>
      <c r="BM783" s="335"/>
    </row>
    <row r="784" spans="1:65" ht="22.25" customHeight="1">
      <c r="A784" s="181">
        <f t="shared" si="270"/>
        <v>45292</v>
      </c>
      <c r="B784" s="485"/>
      <c r="C784" s="490"/>
      <c r="D784" s="521"/>
      <c r="E784" s="218" t="e">
        <f>DATE(YEAR(E783),MONTH(E783)+3,DAY(E783)-1)</f>
        <v>#NUM!</v>
      </c>
      <c r="F784" s="212" t="e">
        <f t="shared" si="271"/>
        <v>#NUM!</v>
      </c>
      <c r="G784" s="213" t="e">
        <f t="shared" si="272"/>
        <v>#NUM!</v>
      </c>
      <c r="H784" s="212" t="e">
        <f t="shared" si="273"/>
        <v>#NUM!</v>
      </c>
      <c r="I784" s="219">
        <f>MAX(I785:I788)</f>
        <v>9</v>
      </c>
      <c r="J784" s="220" t="e">
        <f>DATE(YEAR(J783)+1,MONTH(J783),DAY(J783))</f>
        <v>#NUM!</v>
      </c>
      <c r="K784" s="501" t="str">
        <f t="shared" si="274"/>
        <v>+Inflat.-P</v>
      </c>
      <c r="L784" s="508" t="e">
        <f>IF(M779="Stufe A",IF(AND(L780="Auswahl treffen",D783&gt;=0,D783&lt;=1000),J779,IF(AND(L780="Vermögend und ambulant",D783&gt;8,D783&lt;=1000),130,IF(AND(L780="Vermögend und ambulant",D783&gt;4,D783&lt;=8),158,IF(AND(L780="Vermögend und ambulant",D783&gt;2,D783&lt;=4),192,IF(AND(L780="Vermögend und ambulant",D783&gt;1,D783&lt;=2),208,IF(AND(L780="Vermögend und ambulant",D783&gt;0,D783&lt;=1),298,IF(AND(L780="Vermögend und stationär",D783&gt;8,D783&lt;=1000),78,IF(AND(L780="Vermögend und stationär",D783&gt;4,D783&lt;=8),91,IF(AND(L780="Vermögend und stationär",D783&gt;2,D783&lt;=4),140,IF(AND(L780="Vermögend und stationär",D783&gt;1,D783&lt;=2),158,IF(AND(L780="Vermögend und stationär",D783&gt;0,D783&lt;=1),200,IF(AND(L780="Mittellos und ambulant",D783&gt;8,D783&lt;=1000),105,IF(AND(L780="Mittellos und ambulant",D783&gt;4,D783&lt;=8),122,IF(AND(L780="Mittellos und ambulant",D783&gt;2,D783&lt;=4),151,IF(AND(L780="Mittellos und ambulant",D783&gt;1,D783&lt;=2),170,IF(AND(L780="Mittellos und ambulant",D783&gt;0,D783&lt;=1),208,IF(AND(L780="Mittellos und stationär",D783&gt;8,D783&lt;=1000),62,IF(AND(L780="Mittellos und stationär",D783&gt;4,D783&lt;=8),87,IF(AND(L780="Mittellos und stationär",D783&gt;2,D783&lt;=4),124,IF(AND(L780="Mittellos und stationär",D783&gt;1,D783&lt;=2),129,IF(AND(L780="Mittellos und stationär",D783&gt;0,D783&lt;=1),194,""))))))))))))))))))))),IF(M779="Stufe B",IF(AND(L780="Auswahl treffen",D783&gt;=0,D783&lt;=1000),J779,IF(AND(L780="Vermögend und ambulant",D783&gt;8,D783&lt;=1000),161,IF(AND(L780="Vermögend und ambulant",D783&gt;4,D783&lt;=8),196,IF(AND(L780="Vermögend und ambulant",D783&gt;2,D783&lt;=4),238,IF(AND(L780="Vermögend und ambulant",D783&gt;1,D783&lt;=2),258,IF(AND(L780="Vermögend und ambulant",D783&gt;0,D783&lt;=1),370,IF(AND(L780="Vermögend und stationär",D783&gt;8,D783&lt;=1000),96,IF(AND(L780="Vermögend und stationär",D783&gt;4,D783&lt;=8),113,IF(AND(L780="Vermögend und stationär",D783&gt;2,D783&lt;=4),174,IF(AND(L780="Vermögend und stationär",D783&gt;1,D783&lt;=2),196,IF(AND(L780="Vermögend und stationär",D783&gt;0,D783&lt;=1),249,IF(AND(L780="Mittellos und ambulant",D783&gt;8,D783&lt;=1000),130,IF(AND(L780="Mittellos und ambulant",D783&gt;4,D783&lt;=8),151,IF(AND(L780="Mittellos und ambulant",D783&gt;2,D783&lt;=4),188,IF(AND(L780="Mittellos und ambulant",D783&gt;1,D783&lt;=2),211,IF(AND(L780="Mittellos und ambulant",D783&gt;0,D783&lt;=1),258,IF(AND(L780="Mittellos und stationär",D783&gt;8,D783&lt;=1000),78,IF(AND(L780="Mittellos und stationär",D783&gt;4,D783&lt;=8),107,IF(AND(L780="Mittellos und stationär",D783&gt;2,D783&lt;=4),154,IF(AND(L780="Mittellos und stationär",D783&gt;1,D783&lt;=2),158,IF(AND(L780="Mittellos und stationär",D783&gt;0,D783&lt;=1),241,""))))))))))))))))))))),IF(M779="Stufe C",IF(AND(L780="Auswahl treffen",D783&gt;=0,D783&lt;=1000),J779,IF(AND(L780="Vermögend und ambulant",D783&gt;8,D783&lt;=1000),211,IF(AND(L780="Vermögend und ambulant",D783&gt;4,D783&lt;=8),257,IF(AND(L780="Vermögend und ambulant",D783&gt;2,D783&lt;=4),312,IF(AND(L780="Vermögend und ambulant",D783&gt;1,D783&lt;=2),339,IF(AND(L780="Vermögend und ambulant",D783&gt;0,D783&lt;=1),486,IF(AND(L780="Vermögend und stationär",D783&gt;8,D783&lt;=1000),127,IF(AND(L780="Vermögend und stationär",D783&gt;4,D783&lt;=8),149,IF(AND(L780="Vermögend und stationär",D783&gt;2,D783&lt;=4),229,IF(AND(L780="Vermögend und stationär",D783&gt;1,D783&lt;=2),257,IF(AND(L780="Vermögend und stationär",D783&gt;0,D783&lt;=1),327,IF(AND(L780="Mittellos und ambulant",D783&gt;8,D783&lt;=1000),171,IF(AND(L780="Mittellos und ambulant",D783&gt;4,D783&lt;=8),198,IF(AND(L780="Mittellos und ambulant",D783&gt;2,D783&lt;=4),246,IF(AND(L780="Mittellos und ambulant",D783&gt;1,D783&lt;=2),277,IF(AND(L780="Mittellos und ambulant",D783&gt;0,D783&lt;=1),339,IF(AND(L780="Mittellos und stationär",D783&gt;8,D783&lt;=1000),102,IF(AND(L780="Mittellos und stationär",D783&gt;4,D783&lt;=8),141,IF(AND(L780="Mittellos und stationär",D783&gt;2,D783&lt;=4),202,IF(AND(L780="Mittellos und stationär",D783&gt;1,D783&lt;=2),208,IF(AND(L780="Mittellos und stationär",D783&gt;0,D783&lt;=1),317,""))))))))))))))))))))),"")))*3+(J779*90)</f>
        <v>#NUM!</v>
      </c>
      <c r="M784" s="507" t="str">
        <f>CONCATENATE(K784, K783)</f>
        <v>+Inflat.-P</v>
      </c>
      <c r="N784" s="216"/>
      <c r="O784" s="188" t="s">
        <v>118</v>
      </c>
      <c r="P784" s="188"/>
      <c r="Q784" s="221"/>
      <c r="R784" s="199"/>
      <c r="S784" s="190"/>
      <c r="T784" s="190"/>
      <c r="U784" s="191"/>
      <c r="V784" s="192"/>
      <c r="W784" s="222" t="s">
        <v>118</v>
      </c>
      <c r="X784" s="222" t="s">
        <v>117</v>
      </c>
      <c r="Y784" s="191" t="s">
        <v>26</v>
      </c>
      <c r="Z784" s="192"/>
      <c r="AA784" s="190"/>
      <c r="AB784" s="190"/>
      <c r="AC784" s="191"/>
      <c r="AD784" s="192"/>
      <c r="AE784" s="190"/>
      <c r="AF784" s="190"/>
      <c r="AG784" s="191"/>
      <c r="AH784" s="193"/>
      <c r="AI784" s="190"/>
      <c r="AJ784" s="190"/>
      <c r="AK784" s="374"/>
      <c r="AL784" s="348" t="s">
        <v>149</v>
      </c>
      <c r="AM784" s="354"/>
      <c r="AN784" s="354">
        <f>IF(SUM(O780:O788)=SUM(W780:W788), 0, SUM(O780:O788)-SUM(W780:W788))</f>
        <v>0</v>
      </c>
      <c r="AO784" s="354"/>
      <c r="AP784" s="354"/>
      <c r="AQ784" s="350">
        <f>AM784+AN784+AO784+AP784</f>
        <v>0</v>
      </c>
      <c r="AR784" s="769"/>
      <c r="AS784" s="769"/>
      <c r="AT784" s="769"/>
      <c r="BM784" s="335"/>
    </row>
    <row r="785" spans="1:65" ht="22.25" customHeight="1">
      <c r="A785" s="181">
        <f t="shared" si="270"/>
        <v>45292</v>
      </c>
      <c r="B785" s="484">
        <f>YEAR($A786)-1</f>
        <v>2023</v>
      </c>
      <c r="C785" s="489" t="s">
        <v>158</v>
      </c>
      <c r="D785" s="520" t="e">
        <f>D783+1</f>
        <v>#NUM!</v>
      </c>
      <c r="E785" s="194" t="e">
        <f>DATE(YEAR(E784),MONTH(E784),DAY(E784)+1)</f>
        <v>#NUM!</v>
      </c>
      <c r="F785" s="195" t="e">
        <f t="shared" si="271"/>
        <v>#NUM!</v>
      </c>
      <c r="G785" s="196" t="e">
        <f t="shared" si="272"/>
        <v>#NUM!</v>
      </c>
      <c r="H785" s="195" t="e">
        <f t="shared" si="273"/>
        <v>#NUM!</v>
      </c>
      <c r="I785" s="197">
        <f>IF(J787&lt;13,J787,"")</f>
        <v>9</v>
      </c>
      <c r="J785" s="224">
        <f>G780</f>
        <v>0</v>
      </c>
      <c r="K785" s="506" t="str">
        <f t="shared" si="274"/>
        <v/>
      </c>
      <c r="L785" s="471"/>
      <c r="M785" s="473" t="e">
        <f ca="1">SUM(J780-E786)&amp;" Tage"</f>
        <v>#NUM!</v>
      </c>
      <c r="N785" s="200"/>
      <c r="O785" s="201"/>
      <c r="P785" s="201"/>
      <c r="Q785" s="202"/>
      <c r="R785" s="189"/>
      <c r="S785" s="203"/>
      <c r="T785" s="203"/>
      <c r="U785" s="204"/>
      <c r="V785" s="192"/>
      <c r="W785" s="203"/>
      <c r="X785" s="203"/>
      <c r="Y785" s="204"/>
      <c r="Z785" s="192"/>
      <c r="AA785" s="203"/>
      <c r="AB785" s="203"/>
      <c r="AC785" s="204"/>
      <c r="AD785" s="192"/>
      <c r="AE785" s="203"/>
      <c r="AF785" s="203"/>
      <c r="AG785" s="204"/>
      <c r="AH785" s="193"/>
      <c r="AI785" s="203"/>
      <c r="AJ785" s="203"/>
      <c r="AK785" s="375"/>
      <c r="AL785" s="348"/>
      <c r="AM785" s="354"/>
      <c r="AN785" s="354"/>
      <c r="AO785" s="354"/>
      <c r="AP785" s="354"/>
      <c r="AQ785" s="350"/>
      <c r="AR785" s="769"/>
      <c r="AS785" s="769"/>
      <c r="AT785" s="769"/>
      <c r="BM785" s="335"/>
    </row>
    <row r="786" spans="1:65" ht="22.25" customHeight="1">
      <c r="A786" s="181">
        <f t="shared" si="270"/>
        <v>45292</v>
      </c>
      <c r="B786" s="485"/>
      <c r="C786" s="490"/>
      <c r="D786" s="521"/>
      <c r="E786" s="194" t="e">
        <f>DATE(YEAR(E785),MONTH(E785)+3,DAY(E785)-1)</f>
        <v>#NUM!</v>
      </c>
      <c r="F786" s="195" t="e">
        <f t="shared" si="271"/>
        <v>#NUM!</v>
      </c>
      <c r="G786" s="196" t="e">
        <f t="shared" si="272"/>
        <v>#NUM!</v>
      </c>
      <c r="H786" s="195" t="e">
        <f t="shared" si="273"/>
        <v>#NUM!</v>
      </c>
      <c r="I786" s="244">
        <f>IF(J788&lt;13,J788,"")</f>
        <v>6</v>
      </c>
      <c r="J786" s="224">
        <f>J785+3</f>
        <v>3</v>
      </c>
      <c r="K786" s="501" t="str">
        <f t="shared" si="274"/>
        <v>+Inflat.-P</v>
      </c>
      <c r="L786" s="511" t="e">
        <f>IF(M779="Stufe A",IF(AND(L780="Auswahl treffen",D785&gt;=0,D785&lt;=1000),J779,IF(AND(L780="Vermögend und ambulant",D785&gt;8,D785&lt;=1000),130,IF(AND(L780="Vermögend und ambulant",D785&gt;4,D785&lt;=8),158,IF(AND(L780="Vermögend und ambulant",D785&gt;2,D785&lt;=4),192,IF(AND(L780="Vermögend und ambulant",D785&gt;1,D785&lt;=2),208,IF(AND(L780="Vermögend und ambulant",D785&gt;0,D785&lt;=1),298,IF(AND(L780="Vermögend und stationär",D785&gt;8,D785&lt;=1000),78,IF(AND(L780="Vermögend und stationär",D785&gt;4,D785&lt;=8),91,IF(AND(L780="Vermögend und stationär",D785&gt;2,D785&lt;=4),140,IF(AND(L780="Vermögend und stationär",D785&gt;1,D785&lt;=2),158,IF(AND(L780="Vermögend und stationär",D785&gt;0,D785&lt;=1),200,IF(AND(L780="Mittellos und ambulant",D785&gt;8,D785&lt;=1000),105,IF(AND(L780="Mittellos und ambulant",D785&gt;4,D785&lt;=8),122,IF(AND(L780="Mittellos und ambulant",D785&gt;2,D785&lt;=4),151,IF(AND(L780="Mittellos und ambulant",D785&gt;1,D785&lt;=2),170,IF(AND(L780="Mittellos und ambulant",D785&gt;0,D785&lt;=1),208,IF(AND(L780="Mittellos und stationär",D785&gt;8,D785&lt;=1000),62,IF(AND(L780="Mittellos und stationär",D785&gt;4,D785&lt;=8),87,IF(AND(L780="Mittellos und stationär",D785&gt;2,D785&lt;=4),124,IF(AND(L780="Mittellos und stationär",D785&gt;1,D785&lt;=2),129,IF(AND(L780="Mittellos und stationär",D785&gt;0,D785&lt;=1),194,""))))))))))))))))))))),IF(M779="Stufe B",IF(AND(L780="Auswahl treffen",D785&gt;=0,D785&lt;=1000),J779,IF(AND(L780="Vermögend und ambulant",D785&gt;8,D785&lt;=1000),161,IF(AND(L780="Vermögend und ambulant",D785&gt;4,D785&lt;=8),196,IF(AND(L780="Vermögend und ambulant",D785&gt;2,D785&lt;=4),238,IF(AND(L780="Vermögend und ambulant",D785&gt;1,D785&lt;=2),258,IF(AND(L780="Vermögend und ambulant",D785&gt;0,D785&lt;=1),370,IF(AND(L780="Vermögend und stationär",D785&gt;8,D785&lt;=1000),96,IF(AND(L780="Vermögend und stationär",D785&gt;4,D785&lt;=8),113,IF(AND(L780="Vermögend und stationär",D785&gt;2,D785&lt;=4),174,IF(AND(L780="Vermögend und stationär",D785&gt;1,D785&lt;=2),196,IF(AND(L780="Vermögend und stationär",D785&gt;0,D785&lt;=1),249,IF(AND(L780="Mittellos und ambulant",D785&gt;8,D785&lt;=1000),130,IF(AND(L780="Mittellos und ambulant",D785&gt;4,D785&lt;=8),151,IF(AND(L780="Mittellos und ambulant",D785&gt;2,D785&lt;=4),188,IF(AND(L780="Mittellos und ambulant",D785&gt;1,D785&lt;=2),211,IF(AND(L780="Mittellos und ambulant",D785&gt;0,D785&lt;=1),258,IF(AND(L780="Mittellos und stationär",D785&gt;8,D785&lt;=1000),78,IF(AND(L780="Mittellos und stationär",D785&gt;4,D785&lt;=8),107,IF(AND(L780="Mittellos und stationär",D785&gt;2,D785&lt;=4),154,IF(AND(L780="Mittellos und stationär",D785&gt;1,D785&lt;=2),158,IF(AND(L780="Mittellos und stationär",D785&gt;0,D785&lt;=1),241,""))))))))))))))))))))),IF(M779="Stufe C",IF(AND(L780="Auswahl treffen",D785&gt;=0,D785&lt;=1000),J779,IF(AND(L780="Vermögend und ambulant",D785&gt;8,D785&lt;=1000),211,IF(AND(L780="Vermögend und ambulant",D785&gt;4,D785&lt;=8),257,IF(AND(L780="Vermögend und ambulant",D785&gt;2,D785&lt;=4),312,IF(AND(L780="Vermögend und ambulant",D785&gt;1,D785&lt;=2),339,IF(AND(L780="Vermögend und ambulant",D785&gt;0,D785&lt;=1),486,IF(AND(L780="Vermögend und stationär",D785&gt;8,D785&lt;=1000),127,IF(AND(L780="Vermögend und stationär",D785&gt;4,D785&lt;=8),149,IF(AND(L780="Vermögend und stationär",D785&gt;2,D785&lt;=4),229,IF(AND(L780="Vermögend und stationär",D785&gt;1,D785&lt;=2),257,IF(AND(L780="Vermögend und stationär",D785&gt;0,D785&lt;=1),327,IF(AND(L780="Mittellos und ambulant",D785&gt;8,D785&lt;=1000),171,IF(AND(L780="Mittellos und ambulant",D785&gt;4,D785&lt;=8),198,IF(AND(L780="Mittellos und ambulant",D785&gt;2,D785&lt;=4),246,IF(AND(L780="Mittellos und ambulant",D785&gt;1,D785&lt;=2),277,IF(AND(L780="Mittellos und ambulant",D785&gt;0,D785&lt;=1),339,IF(AND(L780="Mittellos und stationär",D785&gt;8,D785&lt;=1000),102,IF(AND(L780="Mittellos und stationär",D785&gt;4,D785&lt;=8),141,IF(AND(L780="Mittellos und stationär",D785&gt;2,D785&lt;=4),202,IF(AND(L780="Mittellos und stationär",D785&gt;1,D785&lt;=2),208,IF(AND(L780="Mittellos und stationär",D785&gt;0,D785&lt;=1),317,""))))))))))))))))))))),"")))*3+(J779*90)</f>
        <v>#NUM!</v>
      </c>
      <c r="M786" s="507" t="str">
        <f>CONCATENATE(K786, K785)</f>
        <v>+Inflat.-P</v>
      </c>
      <c r="N786" s="206"/>
      <c r="O786" s="207"/>
      <c r="P786" s="206" t="s">
        <v>118</v>
      </c>
      <c r="Q786" s="226"/>
      <c r="R786" s="189"/>
      <c r="S786" s="203"/>
      <c r="T786" s="203"/>
      <c r="U786" s="204"/>
      <c r="V786" s="192"/>
      <c r="W786" s="203"/>
      <c r="X786" s="203"/>
      <c r="Y786" s="204"/>
      <c r="Z786" s="192"/>
      <c r="AA786" s="209" t="s">
        <v>118</v>
      </c>
      <c r="AB786" s="209" t="s">
        <v>117</v>
      </c>
      <c r="AC786" s="204" t="s">
        <v>26</v>
      </c>
      <c r="AD786" s="192"/>
      <c r="AE786" s="203"/>
      <c r="AF786" s="203"/>
      <c r="AG786" s="204"/>
      <c r="AH786" s="193"/>
      <c r="AI786" s="203"/>
      <c r="AJ786" s="203"/>
      <c r="AK786" s="375"/>
      <c r="AL786" s="348" t="s">
        <v>150</v>
      </c>
      <c r="AM786" s="354"/>
      <c r="AN786" s="354"/>
      <c r="AO786" s="354">
        <f>IF(SUM(P780:P788)=SUM(AA780:AA788), 0, SUM(P780:P788)-SUM(AA780:AA788))</f>
        <v>0</v>
      </c>
      <c r="AP786" s="354"/>
      <c r="AQ786" s="350">
        <f>AM786+AN786+AO786+AP786</f>
        <v>0</v>
      </c>
      <c r="AR786" s="769"/>
      <c r="AS786" s="769"/>
      <c r="AT786" s="769"/>
      <c r="BM786" s="335"/>
    </row>
    <row r="787" spans="1:65" ht="22.25" customHeight="1">
      <c r="A787" s="181">
        <f t="shared" si="270"/>
        <v>45292</v>
      </c>
      <c r="B787" s="486"/>
      <c r="C787" s="489" t="s">
        <v>158</v>
      </c>
      <c r="D787" s="522" t="e">
        <f>D785+1</f>
        <v>#NUM!</v>
      </c>
      <c r="E787" s="211" t="e">
        <f>DATE(YEAR(E786),MONTH(E786),DAY(E786)+1)</f>
        <v>#NUM!</v>
      </c>
      <c r="F787" s="227" t="e">
        <f t="shared" si="271"/>
        <v>#NUM!</v>
      </c>
      <c r="G787" s="228" t="e">
        <f t="shared" si="272"/>
        <v>#NUM!</v>
      </c>
      <c r="H787" s="227" t="e">
        <f t="shared" si="273"/>
        <v>#NUM!</v>
      </c>
      <c r="I787" s="231">
        <f>IF(J786&lt;13,J786,"")</f>
        <v>3</v>
      </c>
      <c r="J787" s="230">
        <f>J788+3</f>
        <v>9</v>
      </c>
      <c r="K787" s="506" t="str">
        <f t="shared" si="274"/>
        <v/>
      </c>
      <c r="L787" s="471"/>
      <c r="M787" s="473" t="e">
        <f ca="1">SUM(J780-E788)&amp;" Tage"</f>
        <v>#NUM!</v>
      </c>
      <c r="N787" s="216"/>
      <c r="O787" s="188"/>
      <c r="P787" s="188"/>
      <c r="Q787" s="217"/>
      <c r="R787" s="189"/>
      <c r="S787" s="190"/>
      <c r="T787" s="190"/>
      <c r="U787" s="191"/>
      <c r="V787" s="192"/>
      <c r="W787" s="190"/>
      <c r="X787" s="190"/>
      <c r="Y787" s="191"/>
      <c r="Z787" s="192"/>
      <c r="AA787" s="190"/>
      <c r="AB787" s="190"/>
      <c r="AC787" s="191"/>
      <c r="AD787" s="192"/>
      <c r="AE787" s="190"/>
      <c r="AF787" s="190"/>
      <c r="AG787" s="191"/>
      <c r="AH787" s="193"/>
      <c r="AI787" s="190"/>
      <c r="AJ787" s="190"/>
      <c r="AK787" s="374"/>
      <c r="AL787" s="348"/>
      <c r="AM787" s="354"/>
      <c r="AN787" s="354"/>
      <c r="AO787" s="354"/>
      <c r="AP787" s="354"/>
      <c r="AQ787" s="350"/>
      <c r="AR787" s="769"/>
      <c r="AS787" s="769"/>
      <c r="AT787" s="769"/>
      <c r="BM787" s="335"/>
    </row>
    <row r="788" spans="1:65" ht="22.25" customHeight="1">
      <c r="A788" s="181">
        <f t="shared" si="270"/>
        <v>45292</v>
      </c>
      <c r="B788" s="485"/>
      <c r="C788" s="490"/>
      <c r="D788" s="521"/>
      <c r="E788" s="218" t="e">
        <f>DATE(YEAR(E787),MONTH(E787)+3,DAY(E787)-1)</f>
        <v>#NUM!</v>
      </c>
      <c r="F788" s="227" t="e">
        <f t="shared" si="271"/>
        <v>#NUM!</v>
      </c>
      <c r="G788" s="228" t="e">
        <f t="shared" si="272"/>
        <v>#NUM!</v>
      </c>
      <c r="H788" s="227" t="e">
        <f t="shared" si="273"/>
        <v>#NUM!</v>
      </c>
      <c r="I788" s="231">
        <f>IF(J785&lt;13,J785,"")</f>
        <v>0</v>
      </c>
      <c r="J788" s="230">
        <f>J786+3</f>
        <v>6</v>
      </c>
      <c r="K788" s="501" t="str">
        <f t="shared" si="274"/>
        <v>+Inflat.-P</v>
      </c>
      <c r="L788" s="508" t="e">
        <f>IF(M779="Stufe A",IF(AND(L780="Auswahl treffen",D787&gt;=0,D787&lt;=1000),J779,IF(AND(L780="Vermögend und ambulant",D787&gt;8,D787&lt;=1000),130,IF(AND(L780="Vermögend und ambulant",D787&gt;4,D787&lt;=8),158,IF(AND(L780="Vermögend und ambulant",D787&gt;2,D787&lt;=4),192,IF(AND(L780="Vermögend und ambulant",D787&gt;1,D787&lt;=2),208,IF(AND(L780="Vermögend und ambulant",D787&gt;0,D787&lt;=1),298,IF(AND(L780="Vermögend und stationär",D787&gt;8,D787&lt;=1000),78,IF(AND(L780="Vermögend und stationär",D787&gt;4,D787&lt;=8),91,IF(AND(L780="Vermögend und stationär",D787&gt;2,D787&lt;=4),140,IF(AND(L780="Vermögend und stationär",D787&gt;1,D787&lt;=2),158,IF(AND(L780="Vermögend und stationär",D787&gt;0,D787&lt;=1),200,IF(AND(L780="Mittellos und ambulant",D787&gt;8,D787&lt;=1000),105,IF(AND(L780="Mittellos und ambulant",D787&gt;4,D787&lt;=8),122,IF(AND(L780="Mittellos und ambulant",D787&gt;2,D787&lt;=4),151,IF(AND(L780="Mittellos und ambulant",D787&gt;1,D787&lt;=2),170,IF(AND(L780="Mittellos und ambulant",D787&gt;0,D787&lt;=1),208,IF(AND(L780="Mittellos und stationär",D787&gt;8,D787&lt;=1000),62,IF(AND(L780="Mittellos und stationär",D787&gt;4,D787&lt;=8),87,IF(AND(L780="Mittellos und stationär",D787&gt;2,D787&lt;=4),124,IF(AND(L780="Mittellos und stationär",D787&gt;1,D787&lt;=2),129,IF(AND(L780="Mittellos und stationär",D787&gt;0,D787&lt;=1),194,""))))))))))))))))))))),IF(M779="Stufe B",IF(AND(L780="Auswahl treffen",D787&gt;=0,D787&lt;=1000),J779,IF(AND(L780="Vermögend und ambulant",D787&gt;8,D787&lt;=1000),161,IF(AND(L780="Vermögend und ambulant",D787&gt;4,D787&lt;=8),196,IF(AND(L780="Vermögend und ambulant",D787&gt;2,D787&lt;=4),238,IF(AND(L780="Vermögend und ambulant",D787&gt;1,D787&lt;=2),258,IF(AND(L780="Vermögend und ambulant",D787&gt;0,D787&lt;=1),370,IF(AND(L780="Vermögend und stationär",D787&gt;8,D787&lt;=1000),96,IF(AND(L780="Vermögend und stationär",D787&gt;4,D787&lt;=8),113,IF(AND(L780="Vermögend und stationär",D787&gt;2,D787&lt;=4),174,IF(AND(L780="Vermögend und stationär",D787&gt;1,D787&lt;=2),196,IF(AND(L780="Vermögend und stationär",D787&gt;0,D787&lt;=1),249,IF(AND(L780="Mittellos und ambulant",D787&gt;8,D787&lt;=1000),130,IF(AND(L780="Mittellos und ambulant",D787&gt;4,D787&lt;=8),151,IF(AND(L780="Mittellos und ambulant",D787&gt;2,D787&lt;=4),188,IF(AND(L780="Mittellos und ambulant",D787&gt;1,D787&lt;=2),211,IF(AND(L780="Mittellos und ambulant",D787&gt;0,D787&lt;=1),258,IF(AND(L780="Mittellos und stationär",D787&gt;8,D787&lt;=1000),78,IF(AND(L780="Mittellos und stationär",D787&gt;4,D787&lt;=8),107,IF(AND(L780="Mittellos und stationär",D787&gt;2,D787&lt;=4),154,IF(AND(L780="Mittellos und stationär",D787&gt;1,D787&lt;=2),158,IF(AND(L780="Mittellos und stationär",D787&gt;0,D787&lt;=1),241,""))))))))))))))))))))),IF(M779="Stufe C",IF(AND(L780="Auswahl treffen",D787&gt;=0,D787&lt;=1000),J779,IF(AND(L780="Vermögend und ambulant",D787&gt;8,D787&lt;=1000),211,IF(AND(L780="Vermögend und ambulant",D787&gt;4,D787&lt;=8),257,IF(AND(L780="Vermögend und ambulant",D787&gt;2,D787&lt;=4),312,IF(AND(L780="Vermögend und ambulant",D787&gt;1,D787&lt;=2),339,IF(AND(L780="Vermögend und ambulant",D787&gt;0,D787&lt;=1),486,IF(AND(L780="Vermögend und stationär",D787&gt;8,D787&lt;=1000),127,IF(AND(L780="Vermögend und stationär",D787&gt;4,D787&lt;=8),149,IF(AND(L780="Vermögend und stationär",D787&gt;2,D787&lt;=4),229,IF(AND(L780="Vermögend und stationär",D787&gt;1,D787&lt;=2),257,IF(AND(L780="Vermögend und stationär",D787&gt;0,D787&lt;=1),327,IF(AND(L780="Mittellos und ambulant",D787&gt;8,D787&lt;=1000),171,IF(AND(L780="Mittellos und ambulant",D787&gt;4,D787&lt;=8),198,IF(AND(L780="Mittellos und ambulant",D787&gt;2,D787&lt;=4),246,IF(AND(L780="Mittellos und ambulant",D787&gt;1,D787&lt;=2),277,IF(AND(L780="Mittellos und ambulant",D787&gt;0,D787&lt;=1),339,IF(AND(L780="Mittellos und stationär",D787&gt;8,D787&lt;=1000),102,IF(AND(L780="Mittellos und stationär",D787&gt;4,D787&lt;=8),141,IF(AND(L780="Mittellos und stationär",D787&gt;2,D787&lt;=4),202,IF(AND(L780="Mittellos und stationär",D787&gt;1,D787&lt;=2),208,IF(AND(L780="Mittellos und stationär",D787&gt;0,D787&lt;=1),317,""))))))))))))))))))))),"")))*3+(J779*90)</f>
        <v>#NUM!</v>
      </c>
      <c r="M788" s="507" t="str">
        <f>CONCATENATE(K788, K787)</f>
        <v>+Inflat.-P</v>
      </c>
      <c r="N788" s="216"/>
      <c r="O788" s="188"/>
      <c r="P788" s="188"/>
      <c r="Q788" s="217" t="s">
        <v>118</v>
      </c>
      <c r="R788" s="189"/>
      <c r="S788" s="190"/>
      <c r="T788" s="190"/>
      <c r="U788" s="191"/>
      <c r="V788" s="192"/>
      <c r="W788" s="190"/>
      <c r="X788" s="190"/>
      <c r="Y788" s="191"/>
      <c r="Z788" s="192"/>
      <c r="AA788" s="190"/>
      <c r="AB788" s="190"/>
      <c r="AC788" s="191"/>
      <c r="AD788" s="192"/>
      <c r="AE788" s="190" t="s">
        <v>118</v>
      </c>
      <c r="AF788" s="190" t="s">
        <v>117</v>
      </c>
      <c r="AG788" s="191" t="s">
        <v>26</v>
      </c>
      <c r="AH788" s="193"/>
      <c r="AI788" s="190" t="s">
        <v>118</v>
      </c>
      <c r="AJ788" s="190" t="s">
        <v>117</v>
      </c>
      <c r="AK788" s="374" t="s">
        <v>26</v>
      </c>
      <c r="AL788" s="348" t="s">
        <v>151</v>
      </c>
      <c r="AM788" s="354"/>
      <c r="AN788" s="354"/>
      <c r="AO788" s="354"/>
      <c r="AP788" s="354">
        <f>IF(SUM(Q780:Q788)=SUM(AE780:AE788,AI780:AI788), 0, SUM(Q780:Q788)-SUM(AE780:AE788,AI780:AI788))</f>
        <v>0</v>
      </c>
      <c r="AQ788" s="350">
        <f>AM788+AN788+AO788+AP788</f>
        <v>0</v>
      </c>
      <c r="AR788" s="769"/>
      <c r="AS788" s="769"/>
      <c r="AT788" s="769"/>
      <c r="BM788" s="335"/>
    </row>
    <row r="789" spans="1:65" ht="22" customHeight="1">
      <c r="A789" s="181">
        <f t="shared" si="270"/>
        <v>45292</v>
      </c>
      <c r="B789" s="232" t="s">
        <v>74</v>
      </c>
      <c r="C789" s="233" t="s">
        <v>75</v>
      </c>
      <c r="D789" s="234" t="s">
        <v>76</v>
      </c>
      <c r="E789" s="235" t="s">
        <v>11</v>
      </c>
      <c r="F789" s="235" t="s">
        <v>4</v>
      </c>
      <c r="G789" s="235" t="s">
        <v>5</v>
      </c>
      <c r="H789" s="235" t="s">
        <v>6</v>
      </c>
      <c r="I789" s="236" t="s">
        <v>77</v>
      </c>
      <c r="J789" s="306"/>
      <c r="K789" s="501" t="str">
        <f t="shared" si="274"/>
        <v/>
      </c>
      <c r="L789" s="306" t="str">
        <f>IFERROR(VLOOKUP(B790,'Aktuelle Einnahmen'!A2:J104,10,0),"")</f>
        <v/>
      </c>
      <c r="M789" s="510" t="str">
        <f>M779</f>
        <v>Stufe C</v>
      </c>
      <c r="N789" s="237"/>
      <c r="O789" s="238"/>
      <c r="P789" s="238"/>
      <c r="Q789" s="239"/>
      <c r="R789" s="240"/>
      <c r="S789" s="241"/>
      <c r="T789" s="241"/>
      <c r="U789" s="242"/>
      <c r="V789" s="243"/>
      <c r="W789" s="241"/>
      <c r="X789" s="241"/>
      <c r="Y789" s="242"/>
      <c r="Z789" s="243"/>
      <c r="AA789" s="241"/>
      <c r="AB789" s="241"/>
      <c r="AC789" s="242"/>
      <c r="AD789" s="243"/>
      <c r="AE789" s="241"/>
      <c r="AF789" s="241"/>
      <c r="AG789" s="242"/>
      <c r="AH789" s="240"/>
      <c r="AI789" s="241"/>
      <c r="AJ789" s="241"/>
      <c r="AK789" s="377"/>
      <c r="AL789" s="347"/>
      <c r="AM789" s="353"/>
      <c r="AN789" s="353"/>
      <c r="AO789" s="353"/>
      <c r="AP789" s="353"/>
      <c r="AQ789" s="349"/>
      <c r="AR789" s="768"/>
      <c r="AS789" s="768"/>
      <c r="AT789" s="768"/>
      <c r="BM789" s="335"/>
    </row>
    <row r="790" spans="1:65" ht="23" customHeight="1">
      <c r="A790" s="181">
        <f t="shared" si="270"/>
        <v>45292</v>
      </c>
      <c r="B790" s="182">
        <v>79</v>
      </c>
      <c r="C790" s="245">
        <f>IFERROR(VLOOKUP($B790,'Aktuelle Einnahmen'!A2:G104,3,0),"")</f>
        <v>0</v>
      </c>
      <c r="D790" s="246">
        <f>IFERROR(VLOOKUP($B790,'Aktuelle Einnahmen'!A2:G104,2,0),"")</f>
        <v>0</v>
      </c>
      <c r="E790" s="247">
        <f>IFERROR(VLOOKUP($B790,'Aktuelle Einnahmen'!A2:G104,4,0),"")</f>
        <v>0</v>
      </c>
      <c r="F790" s="94">
        <f>IFERROR(VLOOKUP($B790,'Aktuelle Einnahmen'!A2:G104,5,0),"")</f>
        <v>0</v>
      </c>
      <c r="G790" s="94">
        <f>IFERROR(VLOOKUP($B790,'Aktuelle Einnahmen'!A2:G104,6,0),"")</f>
        <v>0</v>
      </c>
      <c r="H790" s="94">
        <f>IFERROR(VLOOKUP($B790,'Aktuelle Einnahmen'!A2:G104,7,0),"")</f>
        <v>0</v>
      </c>
      <c r="I790" s="186" t="e">
        <f>DATE(H790,G790,F790)</f>
        <v>#NUM!</v>
      </c>
      <c r="J790" s="472">
        <f ca="1">J780</f>
        <v>45475</v>
      </c>
      <c r="K790" s="506" t="str">
        <f t="shared" si="274"/>
        <v>+Inflat.-P</v>
      </c>
      <c r="L790" s="1262" t="str">
        <f>IFERROR(VLOOKUP(B790,'Aktuelle Einnahmen'!A22:I124,9,0),"")</f>
        <v>Auswahl treffen</v>
      </c>
      <c r="M790" s="1263"/>
      <c r="N790" s="261"/>
      <c r="O790" s="261"/>
      <c r="P790" s="261"/>
      <c r="Q790" s="261"/>
      <c r="R790" s="189"/>
      <c r="S790" s="190"/>
      <c r="T790" s="190"/>
      <c r="U790" s="191"/>
      <c r="V790" s="192"/>
      <c r="W790" s="190"/>
      <c r="X790" s="190"/>
      <c r="Y790" s="191"/>
      <c r="Z790" s="192"/>
      <c r="AA790" s="190"/>
      <c r="AB790" s="190"/>
      <c r="AC790" s="191"/>
      <c r="AD790" s="192"/>
      <c r="AE790" s="190"/>
      <c r="AF790" s="190"/>
      <c r="AG790" s="191"/>
      <c r="AH790" s="193"/>
      <c r="AI790" s="190"/>
      <c r="AJ790" s="190"/>
      <c r="AK790" s="374"/>
      <c r="AL790" s="348"/>
      <c r="AM790" s="354"/>
      <c r="AN790" s="354"/>
      <c r="AO790" s="354"/>
      <c r="AP790" s="354"/>
      <c r="AQ790" s="350"/>
      <c r="AR790" s="769"/>
      <c r="AS790" s="769"/>
      <c r="AT790" s="769"/>
      <c r="BM790" s="335"/>
    </row>
    <row r="791" spans="1:65" ht="22.25" customHeight="1">
      <c r="A791" s="181">
        <f t="shared" si="270"/>
        <v>45292</v>
      </c>
      <c r="B791" s="484" t="e">
        <f>DAY(I790)</f>
        <v>#NUM!</v>
      </c>
      <c r="C791" s="489" t="s">
        <v>158</v>
      </c>
      <c r="D791" s="520" t="e">
        <f>(I791*4)+J791/3+1</f>
        <v>#NUM!</v>
      </c>
      <c r="E791" s="194" t="e">
        <f>J793+1</f>
        <v>#NUM!</v>
      </c>
      <c r="F791" s="195" t="e">
        <f t="shared" ref="F791:F798" si="275">DAY(E791)</f>
        <v>#NUM!</v>
      </c>
      <c r="G791" s="196" t="e">
        <f t="shared" ref="G791:G798" si="276">MONTH(E791)</f>
        <v>#NUM!</v>
      </c>
      <c r="H791" s="195" t="e">
        <f t="shared" ref="H791:H798" si="277">YEAR(E791)</f>
        <v>#NUM!</v>
      </c>
      <c r="I791" s="197" t="e">
        <f>H791-(H790+2000)</f>
        <v>#NUM!</v>
      </c>
      <c r="J791" s="198" t="e">
        <f>G791-G790</f>
        <v>#NUM!</v>
      </c>
      <c r="K791" s="506" t="str">
        <f>L789</f>
        <v/>
      </c>
      <c r="L791" s="469"/>
      <c r="M791" s="473" t="e">
        <f ca="1">SUM(J790-E792)&amp;" Tage"</f>
        <v>#NUM!</v>
      </c>
      <c r="N791" s="206"/>
      <c r="O791" s="201"/>
      <c r="P791" s="201"/>
      <c r="Q791" s="202"/>
      <c r="R791" s="189"/>
      <c r="S791" s="203"/>
      <c r="T791" s="203"/>
      <c r="U791" s="204"/>
      <c r="V791" s="192"/>
      <c r="W791" s="203"/>
      <c r="X791" s="203"/>
      <c r="Y791" s="204"/>
      <c r="Z791" s="192"/>
      <c r="AA791" s="203"/>
      <c r="AB791" s="203"/>
      <c r="AC791" s="204"/>
      <c r="AD791" s="192"/>
      <c r="AE791" s="203"/>
      <c r="AF791" s="203"/>
      <c r="AG791" s="204"/>
      <c r="AH791" s="193"/>
      <c r="AI791" s="203"/>
      <c r="AJ791" s="203"/>
      <c r="AK791" s="375"/>
      <c r="AL791" s="348"/>
      <c r="AM791" s="354"/>
      <c r="AN791" s="354"/>
      <c r="AO791" s="354"/>
      <c r="AP791" s="354"/>
      <c r="AQ791" s="350"/>
      <c r="AR791" s="769"/>
      <c r="AS791" s="769"/>
      <c r="AT791" s="769"/>
      <c r="BM791" s="335"/>
    </row>
    <row r="792" spans="1:65" ht="22.25" customHeight="1">
      <c r="A792" s="181">
        <f t="shared" si="270"/>
        <v>45292</v>
      </c>
      <c r="B792" s="485"/>
      <c r="C792" s="490"/>
      <c r="D792" s="521"/>
      <c r="E792" s="194" t="e">
        <f>DATE(YEAR(E791),MONTH(E791)+3,DAY(E791)-1)</f>
        <v>#NUM!</v>
      </c>
      <c r="F792" s="195" t="e">
        <f t="shared" si="275"/>
        <v>#NUM!</v>
      </c>
      <c r="G792" s="196" t="e">
        <f t="shared" si="276"/>
        <v>#NUM!</v>
      </c>
      <c r="H792" s="195" t="e">
        <f t="shared" si="277"/>
        <v>#NUM!</v>
      </c>
      <c r="I792" s="244">
        <v>-1</v>
      </c>
      <c r="J792" s="198" t="e">
        <f>F791-F790</f>
        <v>#NUM!</v>
      </c>
      <c r="K792" s="506" t="str">
        <f t="shared" si="274"/>
        <v>+Inflat.-P</v>
      </c>
      <c r="L792" s="511" t="e">
        <f>IF(M789="Stufe A",IF(AND(L790="Auswahl treffen",D791&gt;=0,D791&lt;=1000),J789,IF(AND(L790="Vermögend und ambulant",D791&gt;8,D791&lt;=1000),130,IF(AND(L790="Vermögend und ambulant",D791&gt;4,D791&lt;=8),158,IF(AND(L790="Vermögend und ambulant",D791&gt;2,D791&lt;=4),192,IF(AND(L790="Vermögend und ambulant",D791&gt;1,D791&lt;=2),208,IF(AND(L790="Vermögend und ambulant",D791&gt;0,D791&lt;=1),298,IF(AND(L790="Vermögend und stationär",D791&gt;8,D791&lt;=1000),78,IF(AND(L790="Vermögend und stationär",D791&gt;4,D791&lt;=8),91,IF(AND(L790="Vermögend und stationär",D791&gt;2,D791&lt;=4),140,IF(AND(L790="Vermögend und stationär",D791&gt;1,D791&lt;=2),158,IF(AND(L790="Vermögend und stationär",D791&gt;0,D791&lt;=1),200,IF(AND(L790="Mittellos und ambulant",D791&gt;8,D791&lt;=1000),105,IF(AND(L790="Mittellos und ambulant",D791&gt;4,D791&lt;=8),122,IF(AND(L790="Mittellos und ambulant",D791&gt;2,D791&lt;=4),151,IF(AND(L790="Mittellos und ambulant",D791&gt;1,D791&lt;=2),170,IF(AND(L790="Mittellos und ambulant",D791&gt;0,D791&lt;=1),208,IF(AND(L790="Mittellos und stationär",D791&gt;8,D791&lt;=1000),62,IF(AND(L790="Mittellos und stationär",D791&gt;4,D791&lt;=8),87,IF(AND(L790="Mittellos und stationär",D791&gt;2,D791&lt;=4),124,IF(AND(L790="Mittellos und stationär",D791&gt;1,D791&lt;=2),129,IF(AND(L790="Mittellos und stationär",D791&gt;0,D791&lt;=1),194,""))))))))))))))))))))),IF(M789="Stufe B",IF(AND(L790="Auswahl treffen",D791&gt;=0,D791&lt;=1000),J789,IF(AND(L790="Vermögend und ambulant",D791&gt;8,D791&lt;=1000),161,IF(AND(L790="Vermögend und ambulant",D791&gt;4,D791&lt;=8),196,IF(AND(L790="Vermögend und ambulant",D791&gt;2,D791&lt;=4),238,IF(AND(L790="Vermögend und ambulant",D791&gt;1,D791&lt;=2),258,IF(AND(L790="Vermögend und ambulant",D791&gt;0,D791&lt;=1),370,IF(AND(L790="Vermögend und stationär",D791&gt;8,D791&lt;=1000),96,IF(AND(L790="Vermögend und stationär",D791&gt;4,D791&lt;=8),113,IF(AND(L790="Vermögend und stationär",D791&gt;2,D791&lt;=4),174,IF(AND(L790="Vermögend und stationär",D791&gt;1,D791&lt;=2),196,IF(AND(L790="Vermögend und stationär",D791&gt;0,D791&lt;=1),249,IF(AND(L790="Mittellos und ambulant",D791&gt;8,D791&lt;=1000),130,IF(AND(L790="Mittellos und ambulant",D791&gt;4,D791&lt;=8),151,IF(AND(L790="Mittellos und ambulant",D791&gt;2,D791&lt;=4),188,IF(AND(L790="Mittellos und ambulant",D791&gt;1,D791&lt;=2),211,IF(AND(L790="Mittellos und ambulant",D791&gt;0,D791&lt;=1),258,IF(AND(L790="Mittellos und stationär",D791&gt;8,D791&lt;=1000),78,IF(AND(L790="Mittellos und stationär",D791&gt;4,D791&lt;=8),107,IF(AND(L790="Mittellos und stationär",D791&gt;2,D791&lt;=4),154,IF(AND(L790="Mittellos und stationär",D791&gt;1,D791&lt;=2),158,IF(AND(L790="Mittellos und stationär",D791&gt;0,D791&lt;=1),241,""))))))))))))))))))))),IF(M789="Stufe C",IF(AND(L790="Auswahl treffen",D791&gt;=0,D791&lt;=1000),J789,IF(AND(L790="Vermögend und ambulant",D791&gt;8,D791&lt;=1000),211,IF(AND(L790="Vermögend und ambulant",D791&gt;4,D791&lt;=8),257,IF(AND(L790="Vermögend und ambulant",D791&gt;2,D791&lt;=4),312,IF(AND(L790="Vermögend und ambulant",D791&gt;1,D791&lt;=2),339,IF(AND(L790="Vermögend und ambulant",D791&gt;0,D791&lt;=1),486,IF(AND(L790="Vermögend und stationär",D791&gt;8,D791&lt;=1000),127,IF(AND(L790="Vermögend und stationär",D791&gt;4,D791&lt;=8),149,IF(AND(L790="Vermögend und stationär",D791&gt;2,D791&lt;=4),229,IF(AND(L790="Vermögend und stationär",D791&gt;1,D791&lt;=2),257,IF(AND(L790="Vermögend und stationär",D791&gt;0,D791&lt;=1),327,IF(AND(L790="Mittellos und ambulant",D791&gt;8,D791&lt;=1000),171,IF(AND(L790="Mittellos und ambulant",D791&gt;4,D791&lt;=8),198,IF(AND(L790="Mittellos und ambulant",D791&gt;2,D791&lt;=4),246,IF(AND(L790="Mittellos und ambulant",D791&gt;1,D791&lt;=2),277,IF(AND(L790="Mittellos und ambulant",D791&gt;0,D791&lt;=1),339,IF(AND(L790="Mittellos und stationär",D791&gt;8,D791&lt;=1000),102,IF(AND(L790="Mittellos und stationär",D791&gt;4,D791&lt;=8),141,IF(AND(L790="Mittellos und stationär",D791&gt;2,D791&lt;=4),202,IF(AND(L790="Mittellos und stationär",D791&gt;1,D791&lt;=2),208,IF(AND(L790="Mittellos und stationär",D791&gt;0,D791&lt;=1),317,""))))))))))))))))))))),"")))*3+(J789*90)</f>
        <v>#NUM!</v>
      </c>
      <c r="M792" s="507" t="str">
        <f>CONCATENATE(K792, K791)</f>
        <v>+Inflat.-P</v>
      </c>
      <c r="N792" s="206" t="s">
        <v>118</v>
      </c>
      <c r="O792" s="207"/>
      <c r="P792" s="207"/>
      <c r="Q792" s="208"/>
      <c r="R792" s="187"/>
      <c r="S792" s="209" t="s">
        <v>118</v>
      </c>
      <c r="T792" s="201" t="s">
        <v>117</v>
      </c>
      <c r="U792" s="210" t="s">
        <v>26</v>
      </c>
      <c r="V792" s="192"/>
      <c r="W792" s="203"/>
      <c r="X792" s="203"/>
      <c r="Y792" s="210"/>
      <c r="Z792" s="192"/>
      <c r="AA792" s="203"/>
      <c r="AB792" s="203"/>
      <c r="AC792" s="210"/>
      <c r="AD792" s="192"/>
      <c r="AE792" s="203"/>
      <c r="AF792" s="203"/>
      <c r="AG792" s="210"/>
      <c r="AH792" s="193"/>
      <c r="AI792" s="203"/>
      <c r="AJ792" s="203"/>
      <c r="AK792" s="376"/>
      <c r="AL792" s="348" t="s">
        <v>148</v>
      </c>
      <c r="AM792" s="354">
        <f>IF(SUM(N790:N798)=SUM(S790:S798), 0, SUM(N790:N798)-SUM(S790:S798))</f>
        <v>0</v>
      </c>
      <c r="AN792" s="354"/>
      <c r="AO792" s="354"/>
      <c r="AP792" s="354"/>
      <c r="AQ792" s="350">
        <f>AM792+AN792+AO792+AP792</f>
        <v>0</v>
      </c>
      <c r="AR792" s="769"/>
      <c r="AS792" s="769"/>
      <c r="AT792" s="769"/>
      <c r="BM792" s="335"/>
    </row>
    <row r="793" spans="1:65" ht="22.25" customHeight="1">
      <c r="A793" s="181">
        <f t="shared" si="270"/>
        <v>45292</v>
      </c>
      <c r="B793" s="484" t="e">
        <f>MONTH(I790)</f>
        <v>#NUM!</v>
      </c>
      <c r="C793" s="489" t="s">
        <v>158</v>
      </c>
      <c r="D793" s="522" t="e">
        <f>D791+1</f>
        <v>#NUM!</v>
      </c>
      <c r="E793" s="211" t="e">
        <f>DATE(YEAR(E792),MONTH(E792),DAY(E792)+1)</f>
        <v>#NUM!</v>
      </c>
      <c r="F793" s="212" t="e">
        <f t="shared" si="275"/>
        <v>#NUM!</v>
      </c>
      <c r="G793" s="213" t="e">
        <f t="shared" si="276"/>
        <v>#NUM!</v>
      </c>
      <c r="H793" s="212" t="e">
        <f t="shared" si="277"/>
        <v>#NUM!</v>
      </c>
      <c r="I793" s="214" t="str">
        <f>IF(D790&lt;&gt;0,"-1T","")</f>
        <v/>
      </c>
      <c r="J793" s="215" t="e">
        <f>DATE($B795,I794,$B791)</f>
        <v>#NUM!</v>
      </c>
      <c r="K793" s="501" t="str">
        <f t="shared" si="274"/>
        <v/>
      </c>
      <c r="L793" s="470"/>
      <c r="M793" s="473" t="e">
        <f ca="1">SUM(J790-E794)&amp;" Tage"</f>
        <v>#NUM!</v>
      </c>
      <c r="N793" s="216"/>
      <c r="O793" s="217"/>
      <c r="P793" s="188"/>
      <c r="Q793" s="217"/>
      <c r="R793" s="189"/>
      <c r="S793" s="190"/>
      <c r="T793" s="190"/>
      <c r="U793" s="191"/>
      <c r="V793" s="192"/>
      <c r="W793" s="190"/>
      <c r="X793" s="190"/>
      <c r="Y793" s="191"/>
      <c r="Z793" s="192"/>
      <c r="AA793" s="190"/>
      <c r="AB793" s="190"/>
      <c r="AC793" s="191"/>
      <c r="AD793" s="192"/>
      <c r="AE793" s="190"/>
      <c r="AF793" s="190"/>
      <c r="AG793" s="191"/>
      <c r="AH793" s="193"/>
      <c r="AI793" s="190"/>
      <c r="AJ793" s="190"/>
      <c r="AK793" s="374"/>
      <c r="AL793" s="348"/>
      <c r="AM793" s="354"/>
      <c r="AN793" s="354"/>
      <c r="AO793" s="354"/>
      <c r="AP793" s="354"/>
      <c r="AQ793" s="350"/>
      <c r="AR793" s="769"/>
      <c r="AS793" s="769"/>
      <c r="AT793" s="769"/>
      <c r="BM793" s="335"/>
    </row>
    <row r="794" spans="1:65" ht="22.25" customHeight="1">
      <c r="A794" s="181">
        <f t="shared" si="270"/>
        <v>45292</v>
      </c>
      <c r="B794" s="485"/>
      <c r="C794" s="490"/>
      <c r="D794" s="521"/>
      <c r="E794" s="218" t="e">
        <f>DATE(YEAR(E793),MONTH(E793)+3,DAY(E793)-1)</f>
        <v>#NUM!</v>
      </c>
      <c r="F794" s="212" t="e">
        <f t="shared" si="275"/>
        <v>#NUM!</v>
      </c>
      <c r="G794" s="213" t="e">
        <f t="shared" si="276"/>
        <v>#NUM!</v>
      </c>
      <c r="H794" s="212" t="e">
        <f t="shared" si="277"/>
        <v>#NUM!</v>
      </c>
      <c r="I794" s="219">
        <f>MAX(I795:I798)</f>
        <v>9</v>
      </c>
      <c r="J794" s="220" t="e">
        <f>DATE(YEAR(J793)+1,MONTH(J793),DAY(J793))</f>
        <v>#NUM!</v>
      </c>
      <c r="K794" s="506" t="str">
        <f t="shared" si="274"/>
        <v>+Inflat.-P</v>
      </c>
      <c r="L794" s="508" t="e">
        <f>IF(M789="Stufe A",IF(AND(L790="Auswahl treffen",D793&gt;=0,D793&lt;=1000),J789,IF(AND(L790="Vermögend und ambulant",D793&gt;8,D793&lt;=1000),130,IF(AND(L790="Vermögend und ambulant",D793&gt;4,D793&lt;=8),158,IF(AND(L790="Vermögend und ambulant",D793&gt;2,D793&lt;=4),192,IF(AND(L790="Vermögend und ambulant",D793&gt;1,D793&lt;=2),208,IF(AND(L790="Vermögend und ambulant",D793&gt;0,D793&lt;=1),298,IF(AND(L790="Vermögend und stationär",D793&gt;8,D793&lt;=1000),78,IF(AND(L790="Vermögend und stationär",D793&gt;4,D793&lt;=8),91,IF(AND(L790="Vermögend und stationär",D793&gt;2,D793&lt;=4),140,IF(AND(L790="Vermögend und stationär",D793&gt;1,D793&lt;=2),158,IF(AND(L790="Vermögend und stationär",D793&gt;0,D793&lt;=1),200,IF(AND(L790="Mittellos und ambulant",D793&gt;8,D793&lt;=1000),105,IF(AND(L790="Mittellos und ambulant",D793&gt;4,D793&lt;=8),122,IF(AND(L790="Mittellos und ambulant",D793&gt;2,D793&lt;=4),151,IF(AND(L790="Mittellos und ambulant",D793&gt;1,D793&lt;=2),170,IF(AND(L790="Mittellos und ambulant",D793&gt;0,D793&lt;=1),208,IF(AND(L790="Mittellos und stationär",D793&gt;8,D793&lt;=1000),62,IF(AND(L790="Mittellos und stationär",D793&gt;4,D793&lt;=8),87,IF(AND(L790="Mittellos und stationär",D793&gt;2,D793&lt;=4),124,IF(AND(L790="Mittellos und stationär",D793&gt;1,D793&lt;=2),129,IF(AND(L790="Mittellos und stationär",D793&gt;0,D793&lt;=1),194,""))))))))))))))))))))),IF(M789="Stufe B",IF(AND(L790="Auswahl treffen",D793&gt;=0,D793&lt;=1000),J789,IF(AND(L790="Vermögend und ambulant",D793&gt;8,D793&lt;=1000),161,IF(AND(L790="Vermögend und ambulant",D793&gt;4,D793&lt;=8),196,IF(AND(L790="Vermögend und ambulant",D793&gt;2,D793&lt;=4),238,IF(AND(L790="Vermögend und ambulant",D793&gt;1,D793&lt;=2),258,IF(AND(L790="Vermögend und ambulant",D793&gt;0,D793&lt;=1),370,IF(AND(L790="Vermögend und stationär",D793&gt;8,D793&lt;=1000),96,IF(AND(L790="Vermögend und stationär",D793&gt;4,D793&lt;=8),113,IF(AND(L790="Vermögend und stationär",D793&gt;2,D793&lt;=4),174,IF(AND(L790="Vermögend und stationär",D793&gt;1,D793&lt;=2),196,IF(AND(L790="Vermögend und stationär",D793&gt;0,D793&lt;=1),249,IF(AND(L790="Mittellos und ambulant",D793&gt;8,D793&lt;=1000),130,IF(AND(L790="Mittellos und ambulant",D793&gt;4,D793&lt;=8),151,IF(AND(L790="Mittellos und ambulant",D793&gt;2,D793&lt;=4),188,IF(AND(L790="Mittellos und ambulant",D793&gt;1,D793&lt;=2),211,IF(AND(L790="Mittellos und ambulant",D793&gt;0,D793&lt;=1),258,IF(AND(L790="Mittellos und stationär",D793&gt;8,D793&lt;=1000),78,IF(AND(L790="Mittellos und stationär",D793&gt;4,D793&lt;=8),107,IF(AND(L790="Mittellos und stationär",D793&gt;2,D793&lt;=4),154,IF(AND(L790="Mittellos und stationär",D793&gt;1,D793&lt;=2),158,IF(AND(L790="Mittellos und stationär",D793&gt;0,D793&lt;=1),241,""))))))))))))))))))))),IF(M789="Stufe C",IF(AND(L790="Auswahl treffen",D793&gt;=0,D793&lt;=1000),J789,IF(AND(L790="Vermögend und ambulant",D793&gt;8,D793&lt;=1000),211,IF(AND(L790="Vermögend und ambulant",D793&gt;4,D793&lt;=8),257,IF(AND(L790="Vermögend und ambulant",D793&gt;2,D793&lt;=4),312,IF(AND(L790="Vermögend und ambulant",D793&gt;1,D793&lt;=2),339,IF(AND(L790="Vermögend und ambulant",D793&gt;0,D793&lt;=1),486,IF(AND(L790="Vermögend und stationär",D793&gt;8,D793&lt;=1000),127,IF(AND(L790="Vermögend und stationär",D793&gt;4,D793&lt;=8),149,IF(AND(L790="Vermögend und stationär",D793&gt;2,D793&lt;=4),229,IF(AND(L790="Vermögend und stationär",D793&gt;1,D793&lt;=2),257,IF(AND(L790="Vermögend und stationär",D793&gt;0,D793&lt;=1),327,IF(AND(L790="Mittellos und ambulant",D793&gt;8,D793&lt;=1000),171,IF(AND(L790="Mittellos und ambulant",D793&gt;4,D793&lt;=8),198,IF(AND(L790="Mittellos und ambulant",D793&gt;2,D793&lt;=4),246,IF(AND(L790="Mittellos und ambulant",D793&gt;1,D793&lt;=2),277,IF(AND(L790="Mittellos und ambulant",D793&gt;0,D793&lt;=1),339,IF(AND(L790="Mittellos und stationär",D793&gt;8,D793&lt;=1000),102,IF(AND(L790="Mittellos und stationär",D793&gt;4,D793&lt;=8),141,IF(AND(L790="Mittellos und stationär",D793&gt;2,D793&lt;=4),202,IF(AND(L790="Mittellos und stationär",D793&gt;1,D793&lt;=2),208,IF(AND(L790="Mittellos und stationär",D793&gt;0,D793&lt;=1),317,""))))))))))))))))))))),"")))*3+(J789*90)</f>
        <v>#NUM!</v>
      </c>
      <c r="M794" s="507" t="str">
        <f>CONCATENATE(K794, K793)</f>
        <v>+Inflat.-P</v>
      </c>
      <c r="N794" s="216"/>
      <c r="O794" s="188" t="s">
        <v>118</v>
      </c>
      <c r="P794" s="188"/>
      <c r="Q794" s="221"/>
      <c r="R794" s="199"/>
      <c r="S794" s="190"/>
      <c r="T794" s="190"/>
      <c r="U794" s="191"/>
      <c r="V794" s="192"/>
      <c r="W794" s="222" t="s">
        <v>118</v>
      </c>
      <c r="X794" s="222" t="s">
        <v>117</v>
      </c>
      <c r="Y794" s="191" t="s">
        <v>26</v>
      </c>
      <c r="Z794" s="192"/>
      <c r="AA794" s="190"/>
      <c r="AB794" s="190"/>
      <c r="AC794" s="191"/>
      <c r="AD794" s="192"/>
      <c r="AE794" s="190"/>
      <c r="AF794" s="190"/>
      <c r="AG794" s="191"/>
      <c r="AH794" s="193"/>
      <c r="AI794" s="190"/>
      <c r="AJ794" s="190"/>
      <c r="AK794" s="374"/>
      <c r="AL794" s="348" t="s">
        <v>149</v>
      </c>
      <c r="AM794" s="354"/>
      <c r="AN794" s="354">
        <f>IF(SUM(O790:O798)=SUM(W790:W798), 0, SUM(O790:O798)-SUM(W790:W798))</f>
        <v>0</v>
      </c>
      <c r="AO794" s="354"/>
      <c r="AP794" s="354"/>
      <c r="AQ794" s="350">
        <f>AM794+AN794+AO794+AP794</f>
        <v>0</v>
      </c>
      <c r="AR794" s="769"/>
      <c r="AS794" s="769"/>
      <c r="AT794" s="769"/>
      <c r="BM794" s="335"/>
    </row>
    <row r="795" spans="1:65" ht="22.25" customHeight="1">
      <c r="A795" s="181">
        <f t="shared" si="270"/>
        <v>45292</v>
      </c>
      <c r="B795" s="484">
        <f>YEAR($A796)-1</f>
        <v>2023</v>
      </c>
      <c r="C795" s="489" t="s">
        <v>158</v>
      </c>
      <c r="D795" s="520" t="e">
        <f>D793+1</f>
        <v>#NUM!</v>
      </c>
      <c r="E795" s="194" t="e">
        <f>DATE(YEAR(E794),MONTH(E794),DAY(E794)+1)</f>
        <v>#NUM!</v>
      </c>
      <c r="F795" s="195" t="e">
        <f t="shared" si="275"/>
        <v>#NUM!</v>
      </c>
      <c r="G795" s="196" t="e">
        <f t="shared" si="276"/>
        <v>#NUM!</v>
      </c>
      <c r="H795" s="195" t="e">
        <f t="shared" si="277"/>
        <v>#NUM!</v>
      </c>
      <c r="I795" s="197">
        <f>IF(J797&lt;13,J797,"")</f>
        <v>9</v>
      </c>
      <c r="J795" s="224">
        <f>G790</f>
        <v>0</v>
      </c>
      <c r="K795" s="501" t="str">
        <f t="shared" si="274"/>
        <v/>
      </c>
      <c r="L795" s="471"/>
      <c r="M795" s="473" t="e">
        <f ca="1">SUM(J790-E796)&amp;" Tage"</f>
        <v>#NUM!</v>
      </c>
      <c r="N795" s="200"/>
      <c r="O795" s="201"/>
      <c r="P795" s="201"/>
      <c r="Q795" s="202"/>
      <c r="R795" s="189"/>
      <c r="S795" s="203"/>
      <c r="T795" s="203"/>
      <c r="U795" s="204"/>
      <c r="V795" s="192"/>
      <c r="W795" s="203"/>
      <c r="X795" s="203"/>
      <c r="Y795" s="204"/>
      <c r="Z795" s="192"/>
      <c r="AA795" s="203"/>
      <c r="AB795" s="203"/>
      <c r="AC795" s="204"/>
      <c r="AD795" s="192"/>
      <c r="AE795" s="203"/>
      <c r="AF795" s="203"/>
      <c r="AG795" s="204"/>
      <c r="AH795" s="193"/>
      <c r="AI795" s="203"/>
      <c r="AJ795" s="203"/>
      <c r="AK795" s="375"/>
      <c r="AL795" s="348"/>
      <c r="AM795" s="354"/>
      <c r="AN795" s="354"/>
      <c r="AO795" s="354"/>
      <c r="AP795" s="354"/>
      <c r="AQ795" s="350"/>
      <c r="AR795" s="769"/>
      <c r="AS795" s="769"/>
      <c r="AT795" s="769"/>
      <c r="BM795" s="335"/>
    </row>
    <row r="796" spans="1:65" ht="22.25" customHeight="1">
      <c r="A796" s="181">
        <f t="shared" si="270"/>
        <v>45292</v>
      </c>
      <c r="B796" s="485"/>
      <c r="C796" s="490"/>
      <c r="D796" s="521"/>
      <c r="E796" s="194" t="e">
        <f>DATE(YEAR(E795),MONTH(E795)+3,DAY(E795)-1)</f>
        <v>#NUM!</v>
      </c>
      <c r="F796" s="195" t="e">
        <f t="shared" si="275"/>
        <v>#NUM!</v>
      </c>
      <c r="G796" s="196" t="e">
        <f t="shared" si="276"/>
        <v>#NUM!</v>
      </c>
      <c r="H796" s="195" t="e">
        <f t="shared" si="277"/>
        <v>#NUM!</v>
      </c>
      <c r="I796" s="244">
        <f>IF(J798&lt;13,J798,"")</f>
        <v>6</v>
      </c>
      <c r="J796" s="224">
        <f>J795+3</f>
        <v>3</v>
      </c>
      <c r="K796" s="501" t="str">
        <f t="shared" si="274"/>
        <v>+Inflat.-P</v>
      </c>
      <c r="L796" s="511" t="e">
        <f>IF(M789="Stufe A",IF(AND(L790="Auswahl treffen",D795&gt;=0,D795&lt;=1000),J789,IF(AND(L790="Vermögend und ambulant",D795&gt;8,D795&lt;=1000),130,IF(AND(L790="Vermögend und ambulant",D795&gt;4,D795&lt;=8),158,IF(AND(L790="Vermögend und ambulant",D795&gt;2,D795&lt;=4),192,IF(AND(L790="Vermögend und ambulant",D795&gt;1,D795&lt;=2),208,IF(AND(L790="Vermögend und ambulant",D795&gt;0,D795&lt;=1),298,IF(AND(L790="Vermögend und stationär",D795&gt;8,D795&lt;=1000),78,IF(AND(L790="Vermögend und stationär",D795&gt;4,D795&lt;=8),91,IF(AND(L790="Vermögend und stationär",D795&gt;2,D795&lt;=4),140,IF(AND(L790="Vermögend und stationär",D795&gt;1,D795&lt;=2),158,IF(AND(L790="Vermögend und stationär",D795&gt;0,D795&lt;=1),200,IF(AND(L790="Mittellos und ambulant",D795&gt;8,D795&lt;=1000),105,IF(AND(L790="Mittellos und ambulant",D795&gt;4,D795&lt;=8),122,IF(AND(L790="Mittellos und ambulant",D795&gt;2,D795&lt;=4),151,IF(AND(L790="Mittellos und ambulant",D795&gt;1,D795&lt;=2),170,IF(AND(L790="Mittellos und ambulant",D795&gt;0,D795&lt;=1),208,IF(AND(L790="Mittellos und stationär",D795&gt;8,D795&lt;=1000),62,IF(AND(L790="Mittellos und stationär",D795&gt;4,D795&lt;=8),87,IF(AND(L790="Mittellos und stationär",D795&gt;2,D795&lt;=4),124,IF(AND(L790="Mittellos und stationär",D795&gt;1,D795&lt;=2),129,IF(AND(L790="Mittellos und stationär",D795&gt;0,D795&lt;=1),194,""))))))))))))))))))))),IF(M789="Stufe B",IF(AND(L790="Auswahl treffen",D795&gt;=0,D795&lt;=1000),J789,IF(AND(L790="Vermögend und ambulant",D795&gt;8,D795&lt;=1000),161,IF(AND(L790="Vermögend und ambulant",D795&gt;4,D795&lt;=8),196,IF(AND(L790="Vermögend und ambulant",D795&gt;2,D795&lt;=4),238,IF(AND(L790="Vermögend und ambulant",D795&gt;1,D795&lt;=2),258,IF(AND(L790="Vermögend und ambulant",D795&gt;0,D795&lt;=1),370,IF(AND(L790="Vermögend und stationär",D795&gt;8,D795&lt;=1000),96,IF(AND(L790="Vermögend und stationär",D795&gt;4,D795&lt;=8),113,IF(AND(L790="Vermögend und stationär",D795&gt;2,D795&lt;=4),174,IF(AND(L790="Vermögend und stationär",D795&gt;1,D795&lt;=2),196,IF(AND(L790="Vermögend und stationär",D795&gt;0,D795&lt;=1),249,IF(AND(L790="Mittellos und ambulant",D795&gt;8,D795&lt;=1000),130,IF(AND(L790="Mittellos und ambulant",D795&gt;4,D795&lt;=8),151,IF(AND(L790="Mittellos und ambulant",D795&gt;2,D795&lt;=4),188,IF(AND(L790="Mittellos und ambulant",D795&gt;1,D795&lt;=2),211,IF(AND(L790="Mittellos und ambulant",D795&gt;0,D795&lt;=1),258,IF(AND(L790="Mittellos und stationär",D795&gt;8,D795&lt;=1000),78,IF(AND(L790="Mittellos und stationär",D795&gt;4,D795&lt;=8),107,IF(AND(L790="Mittellos und stationär",D795&gt;2,D795&lt;=4),154,IF(AND(L790="Mittellos und stationär",D795&gt;1,D795&lt;=2),158,IF(AND(L790="Mittellos und stationär",D795&gt;0,D795&lt;=1),241,""))))))))))))))))))))),IF(M789="Stufe C",IF(AND(L790="Auswahl treffen",D795&gt;=0,D795&lt;=1000),J789,IF(AND(L790="Vermögend und ambulant",D795&gt;8,D795&lt;=1000),211,IF(AND(L790="Vermögend und ambulant",D795&gt;4,D795&lt;=8),257,IF(AND(L790="Vermögend und ambulant",D795&gt;2,D795&lt;=4),312,IF(AND(L790="Vermögend und ambulant",D795&gt;1,D795&lt;=2),339,IF(AND(L790="Vermögend und ambulant",D795&gt;0,D795&lt;=1),486,IF(AND(L790="Vermögend und stationär",D795&gt;8,D795&lt;=1000),127,IF(AND(L790="Vermögend und stationär",D795&gt;4,D795&lt;=8),149,IF(AND(L790="Vermögend und stationär",D795&gt;2,D795&lt;=4),229,IF(AND(L790="Vermögend und stationär",D795&gt;1,D795&lt;=2),257,IF(AND(L790="Vermögend und stationär",D795&gt;0,D795&lt;=1),327,IF(AND(L790="Mittellos und ambulant",D795&gt;8,D795&lt;=1000),171,IF(AND(L790="Mittellos und ambulant",D795&gt;4,D795&lt;=8),198,IF(AND(L790="Mittellos und ambulant",D795&gt;2,D795&lt;=4),246,IF(AND(L790="Mittellos und ambulant",D795&gt;1,D795&lt;=2),277,IF(AND(L790="Mittellos und ambulant",D795&gt;0,D795&lt;=1),339,IF(AND(L790="Mittellos und stationär",D795&gt;8,D795&lt;=1000),102,IF(AND(L790="Mittellos und stationär",D795&gt;4,D795&lt;=8),141,IF(AND(L790="Mittellos und stationär",D795&gt;2,D795&lt;=4),202,IF(AND(L790="Mittellos und stationär",D795&gt;1,D795&lt;=2),208,IF(AND(L790="Mittellos und stationär",D795&gt;0,D795&lt;=1),317,""))))))))))))))))))))),"")))*3+(J789*90)</f>
        <v>#NUM!</v>
      </c>
      <c r="M796" s="507" t="str">
        <f>CONCATENATE(K796, K795)</f>
        <v>+Inflat.-P</v>
      </c>
      <c r="N796" s="206"/>
      <c r="O796" s="207"/>
      <c r="P796" s="206" t="s">
        <v>118</v>
      </c>
      <c r="Q796" s="226"/>
      <c r="R796" s="189"/>
      <c r="S796" s="203"/>
      <c r="T796" s="203"/>
      <c r="U796" s="204"/>
      <c r="V796" s="192"/>
      <c r="W796" s="203"/>
      <c r="X796" s="203"/>
      <c r="Y796" s="204"/>
      <c r="Z796" s="192"/>
      <c r="AA796" s="209" t="s">
        <v>118</v>
      </c>
      <c r="AB796" s="209" t="s">
        <v>117</v>
      </c>
      <c r="AC796" s="204" t="s">
        <v>26</v>
      </c>
      <c r="AD796" s="192"/>
      <c r="AE796" s="203"/>
      <c r="AF796" s="203"/>
      <c r="AG796" s="204"/>
      <c r="AH796" s="193"/>
      <c r="AI796" s="203"/>
      <c r="AJ796" s="203"/>
      <c r="AK796" s="375"/>
      <c r="AL796" s="348" t="s">
        <v>150</v>
      </c>
      <c r="AM796" s="354"/>
      <c r="AN796" s="354"/>
      <c r="AO796" s="354">
        <f>IF(SUM(P790:P798)=SUM(AA790:AA798), 0, SUM(P790:P798)-SUM(AA790:AA798))</f>
        <v>0</v>
      </c>
      <c r="AP796" s="354"/>
      <c r="AQ796" s="350">
        <f>AM796+AN796+AO796+AP796</f>
        <v>0</v>
      </c>
      <c r="AR796" s="769"/>
      <c r="AS796" s="769"/>
      <c r="AT796" s="769"/>
      <c r="BM796" s="335"/>
    </row>
    <row r="797" spans="1:65" ht="22.25" customHeight="1">
      <c r="A797" s="181">
        <f t="shared" si="270"/>
        <v>45292</v>
      </c>
      <c r="B797" s="486"/>
      <c r="C797" s="489" t="s">
        <v>158</v>
      </c>
      <c r="D797" s="522" t="e">
        <f>D795+1</f>
        <v>#NUM!</v>
      </c>
      <c r="E797" s="211" t="e">
        <f>DATE(YEAR(E796),MONTH(E796),DAY(E796)+1)</f>
        <v>#NUM!</v>
      </c>
      <c r="F797" s="227" t="e">
        <f t="shared" si="275"/>
        <v>#NUM!</v>
      </c>
      <c r="G797" s="228" t="e">
        <f t="shared" si="276"/>
        <v>#NUM!</v>
      </c>
      <c r="H797" s="227" t="e">
        <f t="shared" si="277"/>
        <v>#NUM!</v>
      </c>
      <c r="I797" s="231">
        <f>IF(J796&lt;13,J796,"")</f>
        <v>3</v>
      </c>
      <c r="J797" s="230">
        <f>J798+3</f>
        <v>9</v>
      </c>
      <c r="K797" s="506" t="str">
        <f t="shared" si="274"/>
        <v/>
      </c>
      <c r="L797" s="471"/>
      <c r="M797" s="473" t="e">
        <f ca="1">SUM(J790-E798)&amp;" Tage"</f>
        <v>#NUM!</v>
      </c>
      <c r="N797" s="216"/>
      <c r="O797" s="188"/>
      <c r="P797" s="188"/>
      <c r="Q797" s="217"/>
      <c r="R797" s="189"/>
      <c r="S797" s="190"/>
      <c r="T797" s="190"/>
      <c r="U797" s="191"/>
      <c r="V797" s="192"/>
      <c r="W797" s="190"/>
      <c r="X797" s="190"/>
      <c r="Y797" s="191"/>
      <c r="Z797" s="192"/>
      <c r="AA797" s="190"/>
      <c r="AB797" s="190"/>
      <c r="AC797" s="191"/>
      <c r="AD797" s="192"/>
      <c r="AE797" s="190"/>
      <c r="AF797" s="190"/>
      <c r="AG797" s="191"/>
      <c r="AH797" s="193"/>
      <c r="AI797" s="190"/>
      <c r="AJ797" s="190"/>
      <c r="AK797" s="374"/>
      <c r="AL797" s="348"/>
      <c r="AM797" s="354"/>
      <c r="AN797" s="354"/>
      <c r="AO797" s="354"/>
      <c r="AP797" s="354"/>
      <c r="AQ797" s="350"/>
      <c r="AR797" s="769"/>
      <c r="AS797" s="769"/>
      <c r="AT797" s="769"/>
      <c r="BM797" s="335"/>
    </row>
    <row r="798" spans="1:65" ht="22.25" customHeight="1">
      <c r="A798" s="181">
        <f t="shared" si="270"/>
        <v>45292</v>
      </c>
      <c r="B798" s="485"/>
      <c r="C798" s="490"/>
      <c r="D798" s="521"/>
      <c r="E798" s="218" t="e">
        <f>DATE(YEAR(E797),MONTH(E797)+3,DAY(E797)-1)</f>
        <v>#NUM!</v>
      </c>
      <c r="F798" s="227" t="e">
        <f t="shared" si="275"/>
        <v>#NUM!</v>
      </c>
      <c r="G798" s="228" t="e">
        <f t="shared" si="276"/>
        <v>#NUM!</v>
      </c>
      <c r="H798" s="227" t="e">
        <f t="shared" si="277"/>
        <v>#NUM!</v>
      </c>
      <c r="I798" s="231">
        <f>IF(J795&lt;13,J795,"")</f>
        <v>0</v>
      </c>
      <c r="J798" s="230">
        <f>J796+3</f>
        <v>6</v>
      </c>
      <c r="K798" s="501" t="str">
        <f t="shared" si="274"/>
        <v>+Inflat.-P</v>
      </c>
      <c r="L798" s="508" t="e">
        <f>IF(M789="Stufe A",IF(AND(L790="Auswahl treffen",D797&gt;=0,D797&lt;=1000),J789,IF(AND(L790="Vermögend und ambulant",D797&gt;8,D797&lt;=1000),130,IF(AND(L790="Vermögend und ambulant",D797&gt;4,D797&lt;=8),158,IF(AND(L790="Vermögend und ambulant",D797&gt;2,D797&lt;=4),192,IF(AND(L790="Vermögend und ambulant",D797&gt;1,D797&lt;=2),208,IF(AND(L790="Vermögend und ambulant",D797&gt;0,D797&lt;=1),298,IF(AND(L790="Vermögend und stationär",D797&gt;8,D797&lt;=1000),78,IF(AND(L790="Vermögend und stationär",D797&gt;4,D797&lt;=8),91,IF(AND(L790="Vermögend und stationär",D797&gt;2,D797&lt;=4),140,IF(AND(L790="Vermögend und stationär",D797&gt;1,D797&lt;=2),158,IF(AND(L790="Vermögend und stationär",D797&gt;0,D797&lt;=1),200,IF(AND(L790="Mittellos und ambulant",D797&gt;8,D797&lt;=1000),105,IF(AND(L790="Mittellos und ambulant",D797&gt;4,D797&lt;=8),122,IF(AND(L790="Mittellos und ambulant",D797&gt;2,D797&lt;=4),151,IF(AND(L790="Mittellos und ambulant",D797&gt;1,D797&lt;=2),170,IF(AND(L790="Mittellos und ambulant",D797&gt;0,D797&lt;=1),208,IF(AND(L790="Mittellos und stationär",D797&gt;8,D797&lt;=1000),62,IF(AND(L790="Mittellos und stationär",D797&gt;4,D797&lt;=8),87,IF(AND(L790="Mittellos und stationär",D797&gt;2,D797&lt;=4),124,IF(AND(L790="Mittellos und stationär",D797&gt;1,D797&lt;=2),129,IF(AND(L790="Mittellos und stationär",D797&gt;0,D797&lt;=1),194,""))))))))))))))))))))),IF(M789="Stufe B",IF(AND(L790="Auswahl treffen",D797&gt;=0,D797&lt;=1000),J789,IF(AND(L790="Vermögend und ambulant",D797&gt;8,D797&lt;=1000),161,IF(AND(L790="Vermögend und ambulant",D797&gt;4,D797&lt;=8),196,IF(AND(L790="Vermögend und ambulant",D797&gt;2,D797&lt;=4),238,IF(AND(L790="Vermögend und ambulant",D797&gt;1,D797&lt;=2),258,IF(AND(L790="Vermögend und ambulant",D797&gt;0,D797&lt;=1),370,IF(AND(L790="Vermögend und stationär",D797&gt;8,D797&lt;=1000),96,IF(AND(L790="Vermögend und stationär",D797&gt;4,D797&lt;=8),113,IF(AND(L790="Vermögend und stationär",D797&gt;2,D797&lt;=4),174,IF(AND(L790="Vermögend und stationär",D797&gt;1,D797&lt;=2),196,IF(AND(L790="Vermögend und stationär",D797&gt;0,D797&lt;=1),249,IF(AND(L790="Mittellos und ambulant",D797&gt;8,D797&lt;=1000),130,IF(AND(L790="Mittellos und ambulant",D797&gt;4,D797&lt;=8),151,IF(AND(L790="Mittellos und ambulant",D797&gt;2,D797&lt;=4),188,IF(AND(L790="Mittellos und ambulant",D797&gt;1,D797&lt;=2),211,IF(AND(L790="Mittellos und ambulant",D797&gt;0,D797&lt;=1),258,IF(AND(L790="Mittellos und stationär",D797&gt;8,D797&lt;=1000),78,IF(AND(L790="Mittellos und stationär",D797&gt;4,D797&lt;=8),107,IF(AND(L790="Mittellos und stationär",D797&gt;2,D797&lt;=4),154,IF(AND(L790="Mittellos und stationär",D797&gt;1,D797&lt;=2),158,IF(AND(L790="Mittellos und stationär",D797&gt;0,D797&lt;=1),241,""))))))))))))))))))))),IF(M789="Stufe C",IF(AND(L790="Auswahl treffen",D797&gt;=0,D797&lt;=1000),J789,IF(AND(L790="Vermögend und ambulant",D797&gt;8,D797&lt;=1000),211,IF(AND(L790="Vermögend und ambulant",D797&gt;4,D797&lt;=8),257,IF(AND(L790="Vermögend und ambulant",D797&gt;2,D797&lt;=4),312,IF(AND(L790="Vermögend und ambulant",D797&gt;1,D797&lt;=2),339,IF(AND(L790="Vermögend und ambulant",D797&gt;0,D797&lt;=1),486,IF(AND(L790="Vermögend und stationär",D797&gt;8,D797&lt;=1000),127,IF(AND(L790="Vermögend und stationär",D797&gt;4,D797&lt;=8),149,IF(AND(L790="Vermögend und stationär",D797&gt;2,D797&lt;=4),229,IF(AND(L790="Vermögend und stationär",D797&gt;1,D797&lt;=2),257,IF(AND(L790="Vermögend und stationär",D797&gt;0,D797&lt;=1),327,IF(AND(L790="Mittellos und ambulant",D797&gt;8,D797&lt;=1000),171,IF(AND(L790="Mittellos und ambulant",D797&gt;4,D797&lt;=8),198,IF(AND(L790="Mittellos und ambulant",D797&gt;2,D797&lt;=4),246,IF(AND(L790="Mittellos und ambulant",D797&gt;1,D797&lt;=2),277,IF(AND(L790="Mittellos und ambulant",D797&gt;0,D797&lt;=1),339,IF(AND(L790="Mittellos und stationär",D797&gt;8,D797&lt;=1000),102,IF(AND(L790="Mittellos und stationär",D797&gt;4,D797&lt;=8),141,IF(AND(L790="Mittellos und stationär",D797&gt;2,D797&lt;=4),202,IF(AND(L790="Mittellos und stationär",D797&gt;1,D797&lt;=2),208,IF(AND(L790="Mittellos und stationär",D797&gt;0,D797&lt;=1),317,""))))))))))))))))))))),"")))*3+(J789*90)</f>
        <v>#NUM!</v>
      </c>
      <c r="M798" s="507" t="str">
        <f>CONCATENATE(K798, K797)</f>
        <v>+Inflat.-P</v>
      </c>
      <c r="N798" s="216"/>
      <c r="O798" s="188"/>
      <c r="P798" s="188"/>
      <c r="Q798" s="217" t="s">
        <v>118</v>
      </c>
      <c r="R798" s="189"/>
      <c r="S798" s="190"/>
      <c r="T798" s="190"/>
      <c r="U798" s="191"/>
      <c r="V798" s="192"/>
      <c r="W798" s="190"/>
      <c r="X798" s="190"/>
      <c r="Y798" s="191"/>
      <c r="Z798" s="192"/>
      <c r="AA798" s="190"/>
      <c r="AB798" s="190"/>
      <c r="AC798" s="191"/>
      <c r="AD798" s="192"/>
      <c r="AE798" s="190" t="s">
        <v>118</v>
      </c>
      <c r="AF798" s="190" t="s">
        <v>117</v>
      </c>
      <c r="AG798" s="191" t="s">
        <v>26</v>
      </c>
      <c r="AH798" s="193"/>
      <c r="AI798" s="190" t="s">
        <v>118</v>
      </c>
      <c r="AJ798" s="190" t="s">
        <v>117</v>
      </c>
      <c r="AK798" s="374" t="s">
        <v>26</v>
      </c>
      <c r="AL798" s="348" t="s">
        <v>151</v>
      </c>
      <c r="AM798" s="354"/>
      <c r="AN798" s="354"/>
      <c r="AO798" s="354"/>
      <c r="AP798" s="354">
        <f>IF(SUM(Q790:Q798)=SUM(AE790:AE798,AI790:AI798), 0, SUM(Q790:Q798)-SUM(AE790:AE798,AI790:AI798))</f>
        <v>0</v>
      </c>
      <c r="AQ798" s="350">
        <f>AM798+AN798+AO798+AP798</f>
        <v>0</v>
      </c>
      <c r="AR798" s="769"/>
      <c r="AS798" s="769"/>
      <c r="AT798" s="769"/>
      <c r="BM798" s="335"/>
    </row>
    <row r="799" spans="1:65" ht="22" customHeight="1">
      <c r="A799" s="181">
        <f t="shared" si="270"/>
        <v>45292</v>
      </c>
      <c r="B799" s="232" t="s">
        <v>74</v>
      </c>
      <c r="C799" s="233" t="s">
        <v>75</v>
      </c>
      <c r="D799" s="234" t="s">
        <v>76</v>
      </c>
      <c r="E799" s="235" t="s">
        <v>11</v>
      </c>
      <c r="F799" s="235" t="s">
        <v>4</v>
      </c>
      <c r="G799" s="235" t="s">
        <v>5</v>
      </c>
      <c r="H799" s="235" t="s">
        <v>6</v>
      </c>
      <c r="I799" s="236" t="s">
        <v>77</v>
      </c>
      <c r="J799" s="479"/>
      <c r="K799" s="506" t="str">
        <f t="shared" si="274"/>
        <v/>
      </c>
      <c r="L799" s="479" t="str">
        <f>IFERROR(VLOOKUP(B800,'Aktuelle Einnahmen'!A2:J104,10,0),"")</f>
        <v/>
      </c>
      <c r="M799" s="512" t="str">
        <f>M789</f>
        <v>Stufe C</v>
      </c>
      <c r="N799" s="237"/>
      <c r="O799" s="238"/>
      <c r="P799" s="238"/>
      <c r="Q799" s="239"/>
      <c r="R799" s="240"/>
      <c r="S799" s="241"/>
      <c r="T799" s="241"/>
      <c r="U799" s="242"/>
      <c r="V799" s="243"/>
      <c r="W799" s="241"/>
      <c r="X799" s="241"/>
      <c r="Y799" s="242"/>
      <c r="Z799" s="243"/>
      <c r="AA799" s="241"/>
      <c r="AB799" s="241"/>
      <c r="AC799" s="242"/>
      <c r="AD799" s="243"/>
      <c r="AE799" s="241"/>
      <c r="AF799" s="241"/>
      <c r="AG799" s="242"/>
      <c r="AH799" s="240"/>
      <c r="AI799" s="241"/>
      <c r="AJ799" s="241"/>
      <c r="AK799" s="377"/>
      <c r="AL799" s="347"/>
      <c r="AM799" s="353"/>
      <c r="AN799" s="353"/>
      <c r="AO799" s="353"/>
      <c r="AP799" s="353"/>
      <c r="AQ799" s="349"/>
      <c r="AR799" s="768"/>
      <c r="AS799" s="768"/>
      <c r="AT799" s="768"/>
      <c r="BM799" s="335"/>
    </row>
    <row r="800" spans="1:65" ht="23" customHeight="1">
      <c r="A800" s="181">
        <f t="shared" si="270"/>
        <v>45292</v>
      </c>
      <c r="B800" s="182">
        <v>80</v>
      </c>
      <c r="C800" s="245">
        <f>IFERROR(VLOOKUP($B800,'Aktuelle Einnahmen'!A2:G104,3,0),"")</f>
        <v>0</v>
      </c>
      <c r="D800" s="246">
        <f>IFERROR(VLOOKUP($B800,'Aktuelle Einnahmen'!A2:G104,2,0),"")</f>
        <v>0</v>
      </c>
      <c r="E800" s="247">
        <f>IFERROR(VLOOKUP($B800,'Aktuelle Einnahmen'!A2:G104,4,0),"")</f>
        <v>0</v>
      </c>
      <c r="F800" s="94">
        <f>IFERROR(VLOOKUP($B800,'Aktuelle Einnahmen'!A2:G104,5,0),"")</f>
        <v>0</v>
      </c>
      <c r="G800" s="94">
        <f>IFERROR(VLOOKUP($B800,'Aktuelle Einnahmen'!A2:G104,6,0),"")</f>
        <v>0</v>
      </c>
      <c r="H800" s="94">
        <f>IFERROR(VLOOKUP($B800,'Aktuelle Einnahmen'!A2:G104,7,0),"")</f>
        <v>0</v>
      </c>
      <c r="I800" s="186" t="e">
        <f>DATE(H800,G800,F800)</f>
        <v>#NUM!</v>
      </c>
      <c r="J800" s="472">
        <f ca="1">J790</f>
        <v>45475</v>
      </c>
      <c r="K800" s="501" t="str">
        <f t="shared" si="274"/>
        <v>+Inflat.-P</v>
      </c>
      <c r="L800" s="1262" t="str">
        <f>IFERROR(VLOOKUP(B800,'Aktuelle Einnahmen'!A22:I124,9,0),"")</f>
        <v>Auswahl treffen</v>
      </c>
      <c r="M800" s="1263"/>
      <c r="N800" s="261"/>
      <c r="O800" s="261"/>
      <c r="P800" s="261"/>
      <c r="Q800" s="261"/>
      <c r="R800" s="189"/>
      <c r="S800" s="190"/>
      <c r="T800" s="190"/>
      <c r="U800" s="191"/>
      <c r="V800" s="192"/>
      <c r="W800" s="190"/>
      <c r="X800" s="190"/>
      <c r="Y800" s="191"/>
      <c r="Z800" s="192"/>
      <c r="AA800" s="190"/>
      <c r="AB800" s="190"/>
      <c r="AC800" s="191"/>
      <c r="AD800" s="192"/>
      <c r="AE800" s="190"/>
      <c r="AF800" s="190"/>
      <c r="AG800" s="191"/>
      <c r="AH800" s="193"/>
      <c r="AI800" s="190"/>
      <c r="AJ800" s="190"/>
      <c r="AK800" s="374"/>
      <c r="AL800" s="348"/>
      <c r="AM800" s="354"/>
      <c r="AN800" s="354"/>
      <c r="AO800" s="354"/>
      <c r="AP800" s="354"/>
      <c r="AQ800" s="350"/>
      <c r="AR800" s="769"/>
      <c r="AS800" s="769"/>
      <c r="AT800" s="769"/>
      <c r="BM800" s="335"/>
    </row>
    <row r="801" spans="1:65" ht="22.25" customHeight="1">
      <c r="A801" s="181">
        <f t="shared" si="270"/>
        <v>45292</v>
      </c>
      <c r="B801" s="484" t="e">
        <f>DAY(I800)</f>
        <v>#NUM!</v>
      </c>
      <c r="C801" s="489" t="s">
        <v>158</v>
      </c>
      <c r="D801" s="520" t="e">
        <f>(I801*4)+J801/3+1</f>
        <v>#NUM!</v>
      </c>
      <c r="E801" s="194" t="e">
        <f>J803+1</f>
        <v>#NUM!</v>
      </c>
      <c r="F801" s="195" t="e">
        <f t="shared" ref="F801:F808" si="278">DAY(E801)</f>
        <v>#NUM!</v>
      </c>
      <c r="G801" s="196" t="e">
        <f t="shared" ref="G801:G808" si="279">MONTH(E801)</f>
        <v>#NUM!</v>
      </c>
      <c r="H801" s="195" t="e">
        <f t="shared" ref="H801:H808" si="280">YEAR(E801)</f>
        <v>#NUM!</v>
      </c>
      <c r="I801" s="197" t="e">
        <f>H801-(H800+2000)</f>
        <v>#NUM!</v>
      </c>
      <c r="J801" s="198" t="e">
        <f>G801-G800</f>
        <v>#NUM!</v>
      </c>
      <c r="K801" s="506" t="str">
        <f>L799</f>
        <v/>
      </c>
      <c r="L801" s="469"/>
      <c r="M801" s="473" t="e">
        <f ca="1">SUM(J800-E802)&amp;" Tage"</f>
        <v>#NUM!</v>
      </c>
      <c r="N801" s="206"/>
      <c r="O801" s="201"/>
      <c r="P801" s="201"/>
      <c r="Q801" s="202"/>
      <c r="R801" s="189"/>
      <c r="S801" s="203"/>
      <c r="T801" s="203"/>
      <c r="U801" s="204"/>
      <c r="V801" s="192"/>
      <c r="W801" s="203"/>
      <c r="X801" s="203"/>
      <c r="Y801" s="204"/>
      <c r="Z801" s="192"/>
      <c r="AA801" s="203"/>
      <c r="AB801" s="203"/>
      <c r="AC801" s="204"/>
      <c r="AD801" s="192"/>
      <c r="AE801" s="203"/>
      <c r="AF801" s="203"/>
      <c r="AG801" s="204"/>
      <c r="AH801" s="193"/>
      <c r="AI801" s="203"/>
      <c r="AJ801" s="203"/>
      <c r="AK801" s="375"/>
      <c r="AL801" s="348"/>
      <c r="AM801" s="354"/>
      <c r="AN801" s="354"/>
      <c r="AO801" s="354"/>
      <c r="AP801" s="354"/>
      <c r="AQ801" s="350"/>
      <c r="AR801" s="769"/>
      <c r="AS801" s="769"/>
      <c r="AT801" s="769"/>
      <c r="BM801" s="335"/>
    </row>
    <row r="802" spans="1:65" ht="22.25" customHeight="1">
      <c r="A802" s="181">
        <f t="shared" si="270"/>
        <v>45292</v>
      </c>
      <c r="B802" s="485"/>
      <c r="C802" s="490"/>
      <c r="D802" s="521"/>
      <c r="E802" s="194" t="e">
        <f>DATE(YEAR(E801),MONTH(E801)+3,DAY(E801)-1)</f>
        <v>#NUM!</v>
      </c>
      <c r="F802" s="195" t="e">
        <f t="shared" si="278"/>
        <v>#NUM!</v>
      </c>
      <c r="G802" s="196" t="e">
        <f t="shared" si="279"/>
        <v>#NUM!</v>
      </c>
      <c r="H802" s="195" t="e">
        <f t="shared" si="280"/>
        <v>#NUM!</v>
      </c>
      <c r="I802" s="244">
        <v>-1</v>
      </c>
      <c r="J802" s="198" t="e">
        <f>F801-F800</f>
        <v>#NUM!</v>
      </c>
      <c r="K802" s="501" t="str">
        <f t="shared" si="274"/>
        <v>+Inflat.-P</v>
      </c>
      <c r="L802" s="511" t="e">
        <f>IF(M799="Stufe A",IF(AND(L800="Auswahl treffen",D801&gt;=0,D801&lt;=1000),J799,IF(AND(L800="Vermögend und ambulant",D801&gt;8,D801&lt;=1000),130,IF(AND(L800="Vermögend und ambulant",D801&gt;4,D801&lt;=8),158,IF(AND(L800="Vermögend und ambulant",D801&gt;2,D801&lt;=4),192,IF(AND(L800="Vermögend und ambulant",D801&gt;1,D801&lt;=2),208,IF(AND(L800="Vermögend und ambulant",D801&gt;0,D801&lt;=1),298,IF(AND(L800="Vermögend und stationär",D801&gt;8,D801&lt;=1000),78,IF(AND(L800="Vermögend und stationär",D801&gt;4,D801&lt;=8),91,IF(AND(L800="Vermögend und stationär",D801&gt;2,D801&lt;=4),140,IF(AND(L800="Vermögend und stationär",D801&gt;1,D801&lt;=2),158,IF(AND(L800="Vermögend und stationär",D801&gt;0,D801&lt;=1),200,IF(AND(L800="Mittellos und ambulant",D801&gt;8,D801&lt;=1000),105,IF(AND(L800="Mittellos und ambulant",D801&gt;4,D801&lt;=8),122,IF(AND(L800="Mittellos und ambulant",D801&gt;2,D801&lt;=4),151,IF(AND(L800="Mittellos und ambulant",D801&gt;1,D801&lt;=2),170,IF(AND(L800="Mittellos und ambulant",D801&gt;0,D801&lt;=1),208,IF(AND(L800="Mittellos und stationär",D801&gt;8,D801&lt;=1000),62,IF(AND(L800="Mittellos und stationär",D801&gt;4,D801&lt;=8),87,IF(AND(L800="Mittellos und stationär",D801&gt;2,D801&lt;=4),124,IF(AND(L800="Mittellos und stationär",D801&gt;1,D801&lt;=2),129,IF(AND(L800="Mittellos und stationär",D801&gt;0,D801&lt;=1),194,""))))))))))))))))))))),IF(M799="Stufe B",IF(AND(L800="Auswahl treffen",D801&gt;=0,D801&lt;=1000),J799,IF(AND(L800="Vermögend und ambulant",D801&gt;8,D801&lt;=1000),161,IF(AND(L800="Vermögend und ambulant",D801&gt;4,D801&lt;=8),196,IF(AND(L800="Vermögend und ambulant",D801&gt;2,D801&lt;=4),238,IF(AND(L800="Vermögend und ambulant",D801&gt;1,D801&lt;=2),258,IF(AND(L800="Vermögend und ambulant",D801&gt;0,D801&lt;=1),370,IF(AND(L800="Vermögend und stationär",D801&gt;8,D801&lt;=1000),96,IF(AND(L800="Vermögend und stationär",D801&gt;4,D801&lt;=8),113,IF(AND(L800="Vermögend und stationär",D801&gt;2,D801&lt;=4),174,IF(AND(L800="Vermögend und stationär",D801&gt;1,D801&lt;=2),196,IF(AND(L800="Vermögend und stationär",D801&gt;0,D801&lt;=1),249,IF(AND(L800="Mittellos und ambulant",D801&gt;8,D801&lt;=1000),130,IF(AND(L800="Mittellos und ambulant",D801&gt;4,D801&lt;=8),151,IF(AND(L800="Mittellos und ambulant",D801&gt;2,D801&lt;=4),188,IF(AND(L800="Mittellos und ambulant",D801&gt;1,D801&lt;=2),211,IF(AND(L800="Mittellos und ambulant",D801&gt;0,D801&lt;=1),258,IF(AND(L800="Mittellos und stationär",D801&gt;8,D801&lt;=1000),78,IF(AND(L800="Mittellos und stationär",D801&gt;4,D801&lt;=8),107,IF(AND(L800="Mittellos und stationär",D801&gt;2,D801&lt;=4),154,IF(AND(L800="Mittellos und stationär",D801&gt;1,D801&lt;=2),158,IF(AND(L800="Mittellos und stationär",D801&gt;0,D801&lt;=1),241,""))))))))))))))))))))),IF(M799="Stufe C",IF(AND(L800="Auswahl treffen",D801&gt;=0,D801&lt;=1000),J799,IF(AND(L800="Vermögend und ambulant",D801&gt;8,D801&lt;=1000),211,IF(AND(L800="Vermögend und ambulant",D801&gt;4,D801&lt;=8),257,IF(AND(L800="Vermögend und ambulant",D801&gt;2,D801&lt;=4),312,IF(AND(L800="Vermögend und ambulant",D801&gt;1,D801&lt;=2),339,IF(AND(L800="Vermögend und ambulant",D801&gt;0,D801&lt;=1),486,IF(AND(L800="Vermögend und stationär",D801&gt;8,D801&lt;=1000),127,IF(AND(L800="Vermögend und stationär",D801&gt;4,D801&lt;=8),149,IF(AND(L800="Vermögend und stationär",D801&gt;2,D801&lt;=4),229,IF(AND(L800="Vermögend und stationär",D801&gt;1,D801&lt;=2),257,IF(AND(L800="Vermögend und stationär",D801&gt;0,D801&lt;=1),327,IF(AND(L800="Mittellos und ambulant",D801&gt;8,D801&lt;=1000),171,IF(AND(L800="Mittellos und ambulant",D801&gt;4,D801&lt;=8),198,IF(AND(L800="Mittellos und ambulant",D801&gt;2,D801&lt;=4),246,IF(AND(L800="Mittellos und ambulant",D801&gt;1,D801&lt;=2),277,IF(AND(L800="Mittellos und ambulant",D801&gt;0,D801&lt;=1),339,IF(AND(L800="Mittellos und stationär",D801&gt;8,D801&lt;=1000),102,IF(AND(L800="Mittellos und stationär",D801&gt;4,D801&lt;=8),141,IF(AND(L800="Mittellos und stationär",D801&gt;2,D801&lt;=4),202,IF(AND(L800="Mittellos und stationär",D801&gt;1,D801&lt;=2),208,IF(AND(L800="Mittellos und stationär",D801&gt;0,D801&lt;=1),317,""))))))))))))))))))))),"")))*3+(J799*90)</f>
        <v>#NUM!</v>
      </c>
      <c r="M802" s="507" t="str">
        <f>CONCATENATE(K802, K801)</f>
        <v>+Inflat.-P</v>
      </c>
      <c r="N802" s="206" t="s">
        <v>118</v>
      </c>
      <c r="O802" s="207"/>
      <c r="P802" s="207"/>
      <c r="Q802" s="208"/>
      <c r="R802" s="187"/>
      <c r="S802" s="209" t="s">
        <v>118</v>
      </c>
      <c r="T802" s="201" t="s">
        <v>117</v>
      </c>
      <c r="U802" s="210" t="s">
        <v>26</v>
      </c>
      <c r="V802" s="192"/>
      <c r="W802" s="203"/>
      <c r="X802" s="203"/>
      <c r="Y802" s="210"/>
      <c r="Z802" s="192"/>
      <c r="AA802" s="203"/>
      <c r="AB802" s="203"/>
      <c r="AC802" s="210"/>
      <c r="AD802" s="192"/>
      <c r="AE802" s="203"/>
      <c r="AF802" s="203"/>
      <c r="AG802" s="210"/>
      <c r="AH802" s="193"/>
      <c r="AI802" s="203"/>
      <c r="AJ802" s="203"/>
      <c r="AK802" s="376"/>
      <c r="AL802" s="348" t="s">
        <v>148</v>
      </c>
      <c r="AM802" s="354">
        <f>IF(SUM(N800:N808)=SUM(S800:S808), 0, SUM(N800:N808)-SUM(S800:S808))</f>
        <v>0</v>
      </c>
      <c r="AN802" s="354"/>
      <c r="AO802" s="354"/>
      <c r="AP802" s="354"/>
      <c r="AQ802" s="350">
        <f>AM802+AN802+AO802+AP802</f>
        <v>0</v>
      </c>
      <c r="AR802" s="769"/>
      <c r="AS802" s="769"/>
      <c r="AT802" s="769"/>
      <c r="BM802" s="335"/>
    </row>
    <row r="803" spans="1:65" ht="22.25" customHeight="1">
      <c r="A803" s="181">
        <f t="shared" si="270"/>
        <v>45292</v>
      </c>
      <c r="B803" s="484" t="e">
        <f>MONTH(I800)</f>
        <v>#NUM!</v>
      </c>
      <c r="C803" s="489" t="s">
        <v>158</v>
      </c>
      <c r="D803" s="522" t="e">
        <f>D801+1</f>
        <v>#NUM!</v>
      </c>
      <c r="E803" s="211" t="e">
        <f>DATE(YEAR(E802),MONTH(E802),DAY(E802)+1)</f>
        <v>#NUM!</v>
      </c>
      <c r="F803" s="212" t="e">
        <f t="shared" si="278"/>
        <v>#NUM!</v>
      </c>
      <c r="G803" s="213" t="e">
        <f t="shared" si="279"/>
        <v>#NUM!</v>
      </c>
      <c r="H803" s="212" t="e">
        <f t="shared" si="280"/>
        <v>#NUM!</v>
      </c>
      <c r="I803" s="214" t="str">
        <f>IF(D800&lt;&gt;0,"-1T","")</f>
        <v/>
      </c>
      <c r="J803" s="215" t="e">
        <f>DATE($B805,I804,$B801)</f>
        <v>#NUM!</v>
      </c>
      <c r="K803" s="501" t="str">
        <f t="shared" si="274"/>
        <v/>
      </c>
      <c r="L803" s="470"/>
      <c r="M803" s="473" t="e">
        <f ca="1">SUM(J800-E804)&amp;" Tage"</f>
        <v>#NUM!</v>
      </c>
      <c r="N803" s="216"/>
      <c r="O803" s="217"/>
      <c r="P803" s="188"/>
      <c r="Q803" s="217"/>
      <c r="R803" s="189"/>
      <c r="S803" s="190"/>
      <c r="T803" s="190"/>
      <c r="U803" s="191"/>
      <c r="V803" s="192"/>
      <c r="W803" s="190"/>
      <c r="X803" s="190"/>
      <c r="Y803" s="191"/>
      <c r="Z803" s="192"/>
      <c r="AA803" s="190"/>
      <c r="AB803" s="190"/>
      <c r="AC803" s="191"/>
      <c r="AD803" s="192"/>
      <c r="AE803" s="190"/>
      <c r="AF803" s="190"/>
      <c r="AG803" s="191"/>
      <c r="AH803" s="193"/>
      <c r="AI803" s="190"/>
      <c r="AJ803" s="190"/>
      <c r="AK803" s="374"/>
      <c r="AL803" s="348"/>
      <c r="AM803" s="354"/>
      <c r="AN803" s="354"/>
      <c r="AO803" s="354"/>
      <c r="AP803" s="354"/>
      <c r="AQ803" s="350"/>
      <c r="AR803" s="769"/>
      <c r="AS803" s="769"/>
      <c r="AT803" s="769"/>
      <c r="BM803" s="335"/>
    </row>
    <row r="804" spans="1:65" ht="22.25" customHeight="1">
      <c r="A804" s="181">
        <f t="shared" si="270"/>
        <v>45292</v>
      </c>
      <c r="B804" s="485"/>
      <c r="C804" s="490"/>
      <c r="D804" s="521"/>
      <c r="E804" s="218" t="e">
        <f>DATE(YEAR(E803),MONTH(E803)+3,DAY(E803)-1)</f>
        <v>#NUM!</v>
      </c>
      <c r="F804" s="212" t="e">
        <f t="shared" si="278"/>
        <v>#NUM!</v>
      </c>
      <c r="G804" s="213" t="e">
        <f t="shared" si="279"/>
        <v>#NUM!</v>
      </c>
      <c r="H804" s="212" t="e">
        <f t="shared" si="280"/>
        <v>#NUM!</v>
      </c>
      <c r="I804" s="219">
        <f>MAX(I805:I808)</f>
        <v>9</v>
      </c>
      <c r="J804" s="220" t="e">
        <f>DATE(YEAR(J803)+1,MONTH(J803),DAY(J803))</f>
        <v>#NUM!</v>
      </c>
      <c r="K804" s="506" t="str">
        <f t="shared" si="274"/>
        <v>+Inflat.-P</v>
      </c>
      <c r="L804" s="508" t="e">
        <f>IF(M799="Stufe A",IF(AND(L800="Auswahl treffen",D803&gt;=0,D803&lt;=1000),J799,IF(AND(L800="Vermögend und ambulant",D803&gt;8,D803&lt;=1000),130,IF(AND(L800="Vermögend und ambulant",D803&gt;4,D803&lt;=8),158,IF(AND(L800="Vermögend und ambulant",D803&gt;2,D803&lt;=4),192,IF(AND(L800="Vermögend und ambulant",D803&gt;1,D803&lt;=2),208,IF(AND(L800="Vermögend und ambulant",D803&gt;0,D803&lt;=1),298,IF(AND(L800="Vermögend und stationär",D803&gt;8,D803&lt;=1000),78,IF(AND(L800="Vermögend und stationär",D803&gt;4,D803&lt;=8),91,IF(AND(L800="Vermögend und stationär",D803&gt;2,D803&lt;=4),140,IF(AND(L800="Vermögend und stationär",D803&gt;1,D803&lt;=2),158,IF(AND(L800="Vermögend und stationär",D803&gt;0,D803&lt;=1),200,IF(AND(L800="Mittellos und ambulant",D803&gt;8,D803&lt;=1000),105,IF(AND(L800="Mittellos und ambulant",D803&gt;4,D803&lt;=8),122,IF(AND(L800="Mittellos und ambulant",D803&gt;2,D803&lt;=4),151,IF(AND(L800="Mittellos und ambulant",D803&gt;1,D803&lt;=2),170,IF(AND(L800="Mittellos und ambulant",D803&gt;0,D803&lt;=1),208,IF(AND(L800="Mittellos und stationär",D803&gt;8,D803&lt;=1000),62,IF(AND(L800="Mittellos und stationär",D803&gt;4,D803&lt;=8),87,IF(AND(L800="Mittellos und stationär",D803&gt;2,D803&lt;=4),124,IF(AND(L800="Mittellos und stationär",D803&gt;1,D803&lt;=2),129,IF(AND(L800="Mittellos und stationär",D803&gt;0,D803&lt;=1),194,""))))))))))))))))))))),IF(M799="Stufe B",IF(AND(L800="Auswahl treffen",D803&gt;=0,D803&lt;=1000),J799,IF(AND(L800="Vermögend und ambulant",D803&gt;8,D803&lt;=1000),161,IF(AND(L800="Vermögend und ambulant",D803&gt;4,D803&lt;=8),196,IF(AND(L800="Vermögend und ambulant",D803&gt;2,D803&lt;=4),238,IF(AND(L800="Vermögend und ambulant",D803&gt;1,D803&lt;=2),258,IF(AND(L800="Vermögend und ambulant",D803&gt;0,D803&lt;=1),370,IF(AND(L800="Vermögend und stationär",D803&gt;8,D803&lt;=1000),96,IF(AND(L800="Vermögend und stationär",D803&gt;4,D803&lt;=8),113,IF(AND(L800="Vermögend und stationär",D803&gt;2,D803&lt;=4),174,IF(AND(L800="Vermögend und stationär",D803&gt;1,D803&lt;=2),196,IF(AND(L800="Vermögend und stationär",D803&gt;0,D803&lt;=1),249,IF(AND(L800="Mittellos und ambulant",D803&gt;8,D803&lt;=1000),130,IF(AND(L800="Mittellos und ambulant",D803&gt;4,D803&lt;=8),151,IF(AND(L800="Mittellos und ambulant",D803&gt;2,D803&lt;=4),188,IF(AND(L800="Mittellos und ambulant",D803&gt;1,D803&lt;=2),211,IF(AND(L800="Mittellos und ambulant",D803&gt;0,D803&lt;=1),258,IF(AND(L800="Mittellos und stationär",D803&gt;8,D803&lt;=1000),78,IF(AND(L800="Mittellos und stationär",D803&gt;4,D803&lt;=8),107,IF(AND(L800="Mittellos und stationär",D803&gt;2,D803&lt;=4),154,IF(AND(L800="Mittellos und stationär",D803&gt;1,D803&lt;=2),158,IF(AND(L800="Mittellos und stationär",D803&gt;0,D803&lt;=1),241,""))))))))))))))))))))),IF(M799="Stufe C",IF(AND(L800="Auswahl treffen",D803&gt;=0,D803&lt;=1000),J799,IF(AND(L800="Vermögend und ambulant",D803&gt;8,D803&lt;=1000),211,IF(AND(L800="Vermögend und ambulant",D803&gt;4,D803&lt;=8),257,IF(AND(L800="Vermögend und ambulant",D803&gt;2,D803&lt;=4),312,IF(AND(L800="Vermögend und ambulant",D803&gt;1,D803&lt;=2),339,IF(AND(L800="Vermögend und ambulant",D803&gt;0,D803&lt;=1),486,IF(AND(L800="Vermögend und stationär",D803&gt;8,D803&lt;=1000),127,IF(AND(L800="Vermögend und stationär",D803&gt;4,D803&lt;=8),149,IF(AND(L800="Vermögend und stationär",D803&gt;2,D803&lt;=4),229,IF(AND(L800="Vermögend und stationär",D803&gt;1,D803&lt;=2),257,IF(AND(L800="Vermögend und stationär",D803&gt;0,D803&lt;=1),327,IF(AND(L800="Mittellos und ambulant",D803&gt;8,D803&lt;=1000),171,IF(AND(L800="Mittellos und ambulant",D803&gt;4,D803&lt;=8),198,IF(AND(L800="Mittellos und ambulant",D803&gt;2,D803&lt;=4),246,IF(AND(L800="Mittellos und ambulant",D803&gt;1,D803&lt;=2),277,IF(AND(L800="Mittellos und ambulant",D803&gt;0,D803&lt;=1),339,IF(AND(L800="Mittellos und stationär",D803&gt;8,D803&lt;=1000),102,IF(AND(L800="Mittellos und stationär",D803&gt;4,D803&lt;=8),141,IF(AND(L800="Mittellos und stationär",D803&gt;2,D803&lt;=4),202,IF(AND(L800="Mittellos und stationär",D803&gt;1,D803&lt;=2),208,IF(AND(L800="Mittellos und stationär",D803&gt;0,D803&lt;=1),317,""))))))))))))))))))))),"")))*3+(J799*90)</f>
        <v>#NUM!</v>
      </c>
      <c r="M804" s="507" t="str">
        <f>CONCATENATE(K804, K803)</f>
        <v>+Inflat.-P</v>
      </c>
      <c r="N804" s="216"/>
      <c r="O804" s="188" t="s">
        <v>118</v>
      </c>
      <c r="P804" s="188"/>
      <c r="Q804" s="221"/>
      <c r="R804" s="199"/>
      <c r="S804" s="190"/>
      <c r="T804" s="190"/>
      <c r="U804" s="191"/>
      <c r="V804" s="192"/>
      <c r="W804" s="222" t="s">
        <v>118</v>
      </c>
      <c r="X804" s="222" t="s">
        <v>117</v>
      </c>
      <c r="Y804" s="191" t="s">
        <v>26</v>
      </c>
      <c r="Z804" s="192"/>
      <c r="AA804" s="190"/>
      <c r="AB804" s="190"/>
      <c r="AC804" s="191"/>
      <c r="AD804" s="192"/>
      <c r="AE804" s="190"/>
      <c r="AF804" s="190"/>
      <c r="AG804" s="191"/>
      <c r="AH804" s="193"/>
      <c r="AI804" s="190"/>
      <c r="AJ804" s="190"/>
      <c r="AK804" s="374"/>
      <c r="AL804" s="348" t="s">
        <v>149</v>
      </c>
      <c r="AM804" s="354"/>
      <c r="AN804" s="354">
        <f>IF(SUM(O800:O808)=SUM(W800:W808), 0, SUM(O800:O808)-SUM(W800:W808))</f>
        <v>0</v>
      </c>
      <c r="AO804" s="354"/>
      <c r="AP804" s="354"/>
      <c r="AQ804" s="350">
        <f>AM804+AN804+AO804+AP804</f>
        <v>0</v>
      </c>
      <c r="AR804" s="769"/>
      <c r="AS804" s="769"/>
      <c r="AT804" s="769"/>
      <c r="BM804" s="335"/>
    </row>
    <row r="805" spans="1:65" ht="22.25" customHeight="1">
      <c r="A805" s="181">
        <f t="shared" si="270"/>
        <v>45292</v>
      </c>
      <c r="B805" s="484">
        <f>YEAR($A806)-1</f>
        <v>2023</v>
      </c>
      <c r="C805" s="489" t="s">
        <v>158</v>
      </c>
      <c r="D805" s="520" t="e">
        <f>D803+1</f>
        <v>#NUM!</v>
      </c>
      <c r="E805" s="194" t="e">
        <f>DATE(YEAR(E804),MONTH(E804),DAY(E804)+1)</f>
        <v>#NUM!</v>
      </c>
      <c r="F805" s="195" t="e">
        <f t="shared" si="278"/>
        <v>#NUM!</v>
      </c>
      <c r="G805" s="196" t="e">
        <f t="shared" si="279"/>
        <v>#NUM!</v>
      </c>
      <c r="H805" s="195" t="e">
        <f t="shared" si="280"/>
        <v>#NUM!</v>
      </c>
      <c r="I805" s="197">
        <f>IF(J807&lt;13,J807,"")</f>
        <v>9</v>
      </c>
      <c r="J805" s="224">
        <f>G800</f>
        <v>0</v>
      </c>
      <c r="K805" s="501" t="str">
        <f t="shared" si="274"/>
        <v/>
      </c>
      <c r="L805" s="471"/>
      <c r="M805" s="473" t="e">
        <f ca="1">SUM(J800-E806)&amp;" Tage"</f>
        <v>#NUM!</v>
      </c>
      <c r="N805" s="200"/>
      <c r="O805" s="201"/>
      <c r="P805" s="201"/>
      <c r="Q805" s="202"/>
      <c r="R805" s="189"/>
      <c r="S805" s="203"/>
      <c r="T805" s="203"/>
      <c r="U805" s="204"/>
      <c r="V805" s="192"/>
      <c r="W805" s="203"/>
      <c r="X805" s="203"/>
      <c r="Y805" s="204"/>
      <c r="Z805" s="192"/>
      <c r="AA805" s="203"/>
      <c r="AB805" s="203"/>
      <c r="AC805" s="204"/>
      <c r="AD805" s="192"/>
      <c r="AE805" s="203"/>
      <c r="AF805" s="203"/>
      <c r="AG805" s="204"/>
      <c r="AH805" s="193"/>
      <c r="AI805" s="203"/>
      <c r="AJ805" s="203"/>
      <c r="AK805" s="375"/>
      <c r="AL805" s="348"/>
      <c r="AM805" s="354"/>
      <c r="AN805" s="354"/>
      <c r="AO805" s="354"/>
      <c r="AP805" s="354"/>
      <c r="AQ805" s="350"/>
      <c r="AR805" s="769"/>
      <c r="AS805" s="769"/>
      <c r="AT805" s="769"/>
      <c r="BM805" s="335"/>
    </row>
    <row r="806" spans="1:65" ht="22.25" customHeight="1">
      <c r="A806" s="181">
        <f t="shared" si="270"/>
        <v>45292</v>
      </c>
      <c r="B806" s="485"/>
      <c r="C806" s="490"/>
      <c r="D806" s="521"/>
      <c r="E806" s="194" t="e">
        <f>DATE(YEAR(E805),MONTH(E805)+3,DAY(E805)-1)</f>
        <v>#NUM!</v>
      </c>
      <c r="F806" s="195" t="e">
        <f t="shared" si="278"/>
        <v>#NUM!</v>
      </c>
      <c r="G806" s="196" t="e">
        <f t="shared" si="279"/>
        <v>#NUM!</v>
      </c>
      <c r="H806" s="195" t="e">
        <f t="shared" si="280"/>
        <v>#NUM!</v>
      </c>
      <c r="I806" s="244">
        <f>IF(J808&lt;13,J808,"")</f>
        <v>6</v>
      </c>
      <c r="J806" s="224">
        <f>J805+3</f>
        <v>3</v>
      </c>
      <c r="K806" s="506" t="str">
        <f t="shared" si="274"/>
        <v>+Inflat.-P</v>
      </c>
      <c r="L806" s="511" t="e">
        <f>IF(M799="Stufe A",IF(AND(L800="Auswahl treffen",D805&gt;=0,D805&lt;=1000),J799,IF(AND(L800="Vermögend und ambulant",D805&gt;8,D805&lt;=1000),130,IF(AND(L800="Vermögend und ambulant",D805&gt;4,D805&lt;=8),158,IF(AND(L800="Vermögend und ambulant",D805&gt;2,D805&lt;=4),192,IF(AND(L800="Vermögend und ambulant",D805&gt;1,D805&lt;=2),208,IF(AND(L800="Vermögend und ambulant",D805&gt;0,D805&lt;=1),298,IF(AND(L800="Vermögend und stationär",D805&gt;8,D805&lt;=1000),78,IF(AND(L800="Vermögend und stationär",D805&gt;4,D805&lt;=8),91,IF(AND(L800="Vermögend und stationär",D805&gt;2,D805&lt;=4),140,IF(AND(L800="Vermögend und stationär",D805&gt;1,D805&lt;=2),158,IF(AND(L800="Vermögend und stationär",D805&gt;0,D805&lt;=1),200,IF(AND(L800="Mittellos und ambulant",D805&gt;8,D805&lt;=1000),105,IF(AND(L800="Mittellos und ambulant",D805&gt;4,D805&lt;=8),122,IF(AND(L800="Mittellos und ambulant",D805&gt;2,D805&lt;=4),151,IF(AND(L800="Mittellos und ambulant",D805&gt;1,D805&lt;=2),170,IF(AND(L800="Mittellos und ambulant",D805&gt;0,D805&lt;=1),208,IF(AND(L800="Mittellos und stationär",D805&gt;8,D805&lt;=1000),62,IF(AND(L800="Mittellos und stationär",D805&gt;4,D805&lt;=8),87,IF(AND(L800="Mittellos und stationär",D805&gt;2,D805&lt;=4),124,IF(AND(L800="Mittellos und stationär",D805&gt;1,D805&lt;=2),129,IF(AND(L800="Mittellos und stationär",D805&gt;0,D805&lt;=1),194,""))))))))))))))))))))),IF(M799="Stufe B",IF(AND(L800="Auswahl treffen",D805&gt;=0,D805&lt;=1000),J799,IF(AND(L800="Vermögend und ambulant",D805&gt;8,D805&lt;=1000),161,IF(AND(L800="Vermögend und ambulant",D805&gt;4,D805&lt;=8),196,IF(AND(L800="Vermögend und ambulant",D805&gt;2,D805&lt;=4),238,IF(AND(L800="Vermögend und ambulant",D805&gt;1,D805&lt;=2),258,IF(AND(L800="Vermögend und ambulant",D805&gt;0,D805&lt;=1),370,IF(AND(L800="Vermögend und stationär",D805&gt;8,D805&lt;=1000),96,IF(AND(L800="Vermögend und stationär",D805&gt;4,D805&lt;=8),113,IF(AND(L800="Vermögend und stationär",D805&gt;2,D805&lt;=4),174,IF(AND(L800="Vermögend und stationär",D805&gt;1,D805&lt;=2),196,IF(AND(L800="Vermögend und stationär",D805&gt;0,D805&lt;=1),249,IF(AND(L800="Mittellos und ambulant",D805&gt;8,D805&lt;=1000),130,IF(AND(L800="Mittellos und ambulant",D805&gt;4,D805&lt;=8),151,IF(AND(L800="Mittellos und ambulant",D805&gt;2,D805&lt;=4),188,IF(AND(L800="Mittellos und ambulant",D805&gt;1,D805&lt;=2),211,IF(AND(L800="Mittellos und ambulant",D805&gt;0,D805&lt;=1),258,IF(AND(L800="Mittellos und stationär",D805&gt;8,D805&lt;=1000),78,IF(AND(L800="Mittellos und stationär",D805&gt;4,D805&lt;=8),107,IF(AND(L800="Mittellos und stationär",D805&gt;2,D805&lt;=4),154,IF(AND(L800="Mittellos und stationär",D805&gt;1,D805&lt;=2),158,IF(AND(L800="Mittellos und stationär",D805&gt;0,D805&lt;=1),241,""))))))))))))))))))))),IF(M799="Stufe C",IF(AND(L800="Auswahl treffen",D805&gt;=0,D805&lt;=1000),J799,IF(AND(L800="Vermögend und ambulant",D805&gt;8,D805&lt;=1000),211,IF(AND(L800="Vermögend und ambulant",D805&gt;4,D805&lt;=8),257,IF(AND(L800="Vermögend und ambulant",D805&gt;2,D805&lt;=4),312,IF(AND(L800="Vermögend und ambulant",D805&gt;1,D805&lt;=2),339,IF(AND(L800="Vermögend und ambulant",D805&gt;0,D805&lt;=1),486,IF(AND(L800="Vermögend und stationär",D805&gt;8,D805&lt;=1000),127,IF(AND(L800="Vermögend und stationär",D805&gt;4,D805&lt;=8),149,IF(AND(L800="Vermögend und stationär",D805&gt;2,D805&lt;=4),229,IF(AND(L800="Vermögend und stationär",D805&gt;1,D805&lt;=2),257,IF(AND(L800="Vermögend und stationär",D805&gt;0,D805&lt;=1),327,IF(AND(L800="Mittellos und ambulant",D805&gt;8,D805&lt;=1000),171,IF(AND(L800="Mittellos und ambulant",D805&gt;4,D805&lt;=8),198,IF(AND(L800="Mittellos und ambulant",D805&gt;2,D805&lt;=4),246,IF(AND(L800="Mittellos und ambulant",D805&gt;1,D805&lt;=2),277,IF(AND(L800="Mittellos und ambulant",D805&gt;0,D805&lt;=1),339,IF(AND(L800="Mittellos und stationär",D805&gt;8,D805&lt;=1000),102,IF(AND(L800="Mittellos und stationär",D805&gt;4,D805&lt;=8),141,IF(AND(L800="Mittellos und stationär",D805&gt;2,D805&lt;=4),202,IF(AND(L800="Mittellos und stationär",D805&gt;1,D805&lt;=2),208,IF(AND(L800="Mittellos und stationär",D805&gt;0,D805&lt;=1),317,""))))))))))))))))))))),"")))*3+(J799*90)</f>
        <v>#NUM!</v>
      </c>
      <c r="M806" s="507" t="str">
        <f>CONCATENATE(K806, K805)</f>
        <v>+Inflat.-P</v>
      </c>
      <c r="N806" s="206"/>
      <c r="O806" s="207"/>
      <c r="P806" s="206" t="s">
        <v>118</v>
      </c>
      <c r="Q806" s="226"/>
      <c r="R806" s="189"/>
      <c r="S806" s="203"/>
      <c r="T806" s="203"/>
      <c r="U806" s="204"/>
      <c r="V806" s="192"/>
      <c r="W806" s="203"/>
      <c r="X806" s="203"/>
      <c r="Y806" s="204"/>
      <c r="Z806" s="192"/>
      <c r="AA806" s="209" t="s">
        <v>118</v>
      </c>
      <c r="AB806" s="209" t="s">
        <v>117</v>
      </c>
      <c r="AC806" s="204" t="s">
        <v>26</v>
      </c>
      <c r="AD806" s="192"/>
      <c r="AE806" s="203"/>
      <c r="AF806" s="203"/>
      <c r="AG806" s="204"/>
      <c r="AH806" s="193"/>
      <c r="AI806" s="203"/>
      <c r="AJ806" s="203"/>
      <c r="AK806" s="375"/>
      <c r="AL806" s="348" t="s">
        <v>150</v>
      </c>
      <c r="AM806" s="354"/>
      <c r="AN806" s="354"/>
      <c r="AO806" s="354">
        <f>IF(SUM(P800:P808)=SUM(AA800:AA808), 0, SUM(P800:P808)-SUM(AA800:AA808))</f>
        <v>0</v>
      </c>
      <c r="AP806" s="354"/>
      <c r="AQ806" s="350">
        <f>AM806+AN806+AO806+AP806</f>
        <v>0</v>
      </c>
      <c r="AR806" s="769"/>
      <c r="AS806" s="769"/>
      <c r="AT806" s="769"/>
      <c r="BM806" s="335"/>
    </row>
    <row r="807" spans="1:65" ht="22.25" customHeight="1">
      <c r="A807" s="181">
        <f t="shared" si="270"/>
        <v>45292</v>
      </c>
      <c r="B807" s="486"/>
      <c r="C807" s="489" t="s">
        <v>158</v>
      </c>
      <c r="D807" s="522" t="e">
        <f>D805+1</f>
        <v>#NUM!</v>
      </c>
      <c r="E807" s="211" t="e">
        <f>DATE(YEAR(E806),MONTH(E806),DAY(E806)+1)</f>
        <v>#NUM!</v>
      </c>
      <c r="F807" s="227" t="e">
        <f t="shared" si="278"/>
        <v>#NUM!</v>
      </c>
      <c r="G807" s="228" t="e">
        <f t="shared" si="279"/>
        <v>#NUM!</v>
      </c>
      <c r="H807" s="227" t="e">
        <f t="shared" si="280"/>
        <v>#NUM!</v>
      </c>
      <c r="I807" s="231">
        <f>IF(J806&lt;13,J806,"")</f>
        <v>3</v>
      </c>
      <c r="J807" s="230">
        <f>J808+3</f>
        <v>9</v>
      </c>
      <c r="K807" s="501" t="str">
        <f t="shared" si="274"/>
        <v/>
      </c>
      <c r="L807" s="471"/>
      <c r="M807" s="473" t="e">
        <f ca="1">SUM(J800-E808)&amp;" Tage"</f>
        <v>#NUM!</v>
      </c>
      <c r="N807" s="216"/>
      <c r="O807" s="188"/>
      <c r="P807" s="188"/>
      <c r="Q807" s="217"/>
      <c r="R807" s="189"/>
      <c r="S807" s="190"/>
      <c r="T807" s="190"/>
      <c r="U807" s="191"/>
      <c r="V807" s="192"/>
      <c r="W807" s="190"/>
      <c r="X807" s="190"/>
      <c r="Y807" s="191"/>
      <c r="Z807" s="192"/>
      <c r="AA807" s="190"/>
      <c r="AB807" s="190"/>
      <c r="AC807" s="191"/>
      <c r="AD807" s="192"/>
      <c r="AE807" s="190"/>
      <c r="AF807" s="190"/>
      <c r="AG807" s="191"/>
      <c r="AH807" s="193"/>
      <c r="AI807" s="190"/>
      <c r="AJ807" s="190"/>
      <c r="AK807" s="374"/>
      <c r="AL807" s="348"/>
      <c r="AM807" s="354"/>
      <c r="AN807" s="354"/>
      <c r="AO807" s="354"/>
      <c r="AP807" s="354"/>
      <c r="AQ807" s="350"/>
      <c r="AR807" s="769"/>
      <c r="AS807" s="769"/>
      <c r="AT807" s="769"/>
      <c r="BM807" s="335"/>
    </row>
    <row r="808" spans="1:65" ht="22.25" customHeight="1">
      <c r="A808" s="181">
        <f t="shared" si="270"/>
        <v>45292</v>
      </c>
      <c r="B808" s="485"/>
      <c r="C808" s="490"/>
      <c r="D808" s="521"/>
      <c r="E808" s="218" t="e">
        <f>DATE(YEAR(E807),MONTH(E807)+3,DAY(E807)-1)</f>
        <v>#NUM!</v>
      </c>
      <c r="F808" s="227" t="e">
        <f t="shared" si="278"/>
        <v>#NUM!</v>
      </c>
      <c r="G808" s="228" t="e">
        <f t="shared" si="279"/>
        <v>#NUM!</v>
      </c>
      <c r="H808" s="227" t="e">
        <f t="shared" si="280"/>
        <v>#NUM!</v>
      </c>
      <c r="I808" s="231">
        <f>IF(J805&lt;13,J805,"")</f>
        <v>0</v>
      </c>
      <c r="J808" s="230">
        <f>J806+3</f>
        <v>6</v>
      </c>
      <c r="K808" s="506" t="str">
        <f t="shared" si="274"/>
        <v>+Inflat.-P</v>
      </c>
      <c r="L808" s="508" t="e">
        <f>IF(M799="Stufe A",IF(AND(L800="Auswahl treffen",D807&gt;=0,D807&lt;=1000),J799,IF(AND(L800="Vermögend und ambulant",D807&gt;8,D807&lt;=1000),130,IF(AND(L800="Vermögend und ambulant",D807&gt;4,D807&lt;=8),158,IF(AND(L800="Vermögend und ambulant",D807&gt;2,D807&lt;=4),192,IF(AND(L800="Vermögend und ambulant",D807&gt;1,D807&lt;=2),208,IF(AND(L800="Vermögend und ambulant",D807&gt;0,D807&lt;=1),298,IF(AND(L800="Vermögend und stationär",D807&gt;8,D807&lt;=1000),78,IF(AND(L800="Vermögend und stationär",D807&gt;4,D807&lt;=8),91,IF(AND(L800="Vermögend und stationär",D807&gt;2,D807&lt;=4),140,IF(AND(L800="Vermögend und stationär",D807&gt;1,D807&lt;=2),158,IF(AND(L800="Vermögend und stationär",D807&gt;0,D807&lt;=1),200,IF(AND(L800="Mittellos und ambulant",D807&gt;8,D807&lt;=1000),105,IF(AND(L800="Mittellos und ambulant",D807&gt;4,D807&lt;=8),122,IF(AND(L800="Mittellos und ambulant",D807&gt;2,D807&lt;=4),151,IF(AND(L800="Mittellos und ambulant",D807&gt;1,D807&lt;=2),170,IF(AND(L800="Mittellos und ambulant",D807&gt;0,D807&lt;=1),208,IF(AND(L800="Mittellos und stationär",D807&gt;8,D807&lt;=1000),62,IF(AND(L800="Mittellos und stationär",D807&gt;4,D807&lt;=8),87,IF(AND(L800="Mittellos und stationär",D807&gt;2,D807&lt;=4),124,IF(AND(L800="Mittellos und stationär",D807&gt;1,D807&lt;=2),129,IF(AND(L800="Mittellos und stationär",D807&gt;0,D807&lt;=1),194,""))))))))))))))))))))),IF(M799="Stufe B",IF(AND(L800="Auswahl treffen",D807&gt;=0,D807&lt;=1000),J799,IF(AND(L800="Vermögend und ambulant",D807&gt;8,D807&lt;=1000),161,IF(AND(L800="Vermögend und ambulant",D807&gt;4,D807&lt;=8),196,IF(AND(L800="Vermögend und ambulant",D807&gt;2,D807&lt;=4),238,IF(AND(L800="Vermögend und ambulant",D807&gt;1,D807&lt;=2),258,IF(AND(L800="Vermögend und ambulant",D807&gt;0,D807&lt;=1),370,IF(AND(L800="Vermögend und stationär",D807&gt;8,D807&lt;=1000),96,IF(AND(L800="Vermögend und stationär",D807&gt;4,D807&lt;=8),113,IF(AND(L800="Vermögend und stationär",D807&gt;2,D807&lt;=4),174,IF(AND(L800="Vermögend und stationär",D807&gt;1,D807&lt;=2),196,IF(AND(L800="Vermögend und stationär",D807&gt;0,D807&lt;=1),249,IF(AND(L800="Mittellos und ambulant",D807&gt;8,D807&lt;=1000),130,IF(AND(L800="Mittellos und ambulant",D807&gt;4,D807&lt;=8),151,IF(AND(L800="Mittellos und ambulant",D807&gt;2,D807&lt;=4),188,IF(AND(L800="Mittellos und ambulant",D807&gt;1,D807&lt;=2),211,IF(AND(L800="Mittellos und ambulant",D807&gt;0,D807&lt;=1),258,IF(AND(L800="Mittellos und stationär",D807&gt;8,D807&lt;=1000),78,IF(AND(L800="Mittellos und stationär",D807&gt;4,D807&lt;=8),107,IF(AND(L800="Mittellos und stationär",D807&gt;2,D807&lt;=4),154,IF(AND(L800="Mittellos und stationär",D807&gt;1,D807&lt;=2),158,IF(AND(L800="Mittellos und stationär",D807&gt;0,D807&lt;=1),241,""))))))))))))))))))))),IF(M799="Stufe C",IF(AND(L800="Auswahl treffen",D807&gt;=0,D807&lt;=1000),J799,IF(AND(L800="Vermögend und ambulant",D807&gt;8,D807&lt;=1000),211,IF(AND(L800="Vermögend und ambulant",D807&gt;4,D807&lt;=8),257,IF(AND(L800="Vermögend und ambulant",D807&gt;2,D807&lt;=4),312,IF(AND(L800="Vermögend und ambulant",D807&gt;1,D807&lt;=2),339,IF(AND(L800="Vermögend und ambulant",D807&gt;0,D807&lt;=1),486,IF(AND(L800="Vermögend und stationär",D807&gt;8,D807&lt;=1000),127,IF(AND(L800="Vermögend und stationär",D807&gt;4,D807&lt;=8),149,IF(AND(L800="Vermögend und stationär",D807&gt;2,D807&lt;=4),229,IF(AND(L800="Vermögend und stationär",D807&gt;1,D807&lt;=2),257,IF(AND(L800="Vermögend und stationär",D807&gt;0,D807&lt;=1),327,IF(AND(L800="Mittellos und ambulant",D807&gt;8,D807&lt;=1000),171,IF(AND(L800="Mittellos und ambulant",D807&gt;4,D807&lt;=8),198,IF(AND(L800="Mittellos und ambulant",D807&gt;2,D807&lt;=4),246,IF(AND(L800="Mittellos und ambulant",D807&gt;1,D807&lt;=2),277,IF(AND(L800="Mittellos und ambulant",D807&gt;0,D807&lt;=1),339,IF(AND(L800="Mittellos und stationär",D807&gt;8,D807&lt;=1000),102,IF(AND(L800="Mittellos und stationär",D807&gt;4,D807&lt;=8),141,IF(AND(L800="Mittellos und stationär",D807&gt;2,D807&lt;=4),202,IF(AND(L800="Mittellos und stationär",D807&gt;1,D807&lt;=2),208,IF(AND(L800="Mittellos und stationär",D807&gt;0,D807&lt;=1),317,""))))))))))))))))))))),"")))*3+(J799*90)</f>
        <v>#NUM!</v>
      </c>
      <c r="M808" s="507" t="str">
        <f>CONCATENATE(K808, K807)</f>
        <v>+Inflat.-P</v>
      </c>
      <c r="N808" s="216"/>
      <c r="O808" s="188"/>
      <c r="P808" s="188"/>
      <c r="Q808" s="217" t="s">
        <v>118</v>
      </c>
      <c r="R808" s="189"/>
      <c r="S808" s="190"/>
      <c r="T808" s="190"/>
      <c r="U808" s="191"/>
      <c r="V808" s="192"/>
      <c r="W808" s="190"/>
      <c r="X808" s="190"/>
      <c r="Y808" s="191"/>
      <c r="Z808" s="192"/>
      <c r="AA808" s="190"/>
      <c r="AB808" s="190"/>
      <c r="AC808" s="191"/>
      <c r="AD808" s="192"/>
      <c r="AE808" s="190" t="s">
        <v>118</v>
      </c>
      <c r="AF808" s="190" t="s">
        <v>117</v>
      </c>
      <c r="AG808" s="191" t="s">
        <v>26</v>
      </c>
      <c r="AH808" s="193"/>
      <c r="AI808" s="190" t="s">
        <v>118</v>
      </c>
      <c r="AJ808" s="190" t="s">
        <v>117</v>
      </c>
      <c r="AK808" s="374" t="s">
        <v>26</v>
      </c>
      <c r="AL808" s="348" t="s">
        <v>151</v>
      </c>
      <c r="AM808" s="354"/>
      <c r="AN808" s="354"/>
      <c r="AO808" s="354"/>
      <c r="AP808" s="354">
        <f>IF(SUM(Q800:Q808)=SUM(AE800:AE808,AI800:AI808), 0, SUM(Q800:Q808)-SUM(AE800:AE808,AI800:AI808))</f>
        <v>0</v>
      </c>
      <c r="AQ808" s="350">
        <f>AM808+AN808+AO808+AP808</f>
        <v>0</v>
      </c>
      <c r="AR808" s="769"/>
      <c r="AS808" s="769"/>
      <c r="AT808" s="769"/>
      <c r="BM808" s="335"/>
    </row>
    <row r="809" spans="1:65" ht="22" customHeight="1">
      <c r="A809" s="181">
        <f t="shared" si="270"/>
        <v>45292</v>
      </c>
      <c r="B809" s="232" t="s">
        <v>74</v>
      </c>
      <c r="C809" s="233" t="s">
        <v>75</v>
      </c>
      <c r="D809" s="234" t="s">
        <v>76</v>
      </c>
      <c r="E809" s="235" t="s">
        <v>11</v>
      </c>
      <c r="F809" s="235" t="s">
        <v>4</v>
      </c>
      <c r="G809" s="235" t="s">
        <v>5</v>
      </c>
      <c r="H809" s="235" t="s">
        <v>6</v>
      </c>
      <c r="I809" s="236" t="s">
        <v>77</v>
      </c>
      <c r="J809" s="306"/>
      <c r="K809" s="501" t="str">
        <f t="shared" si="274"/>
        <v/>
      </c>
      <c r="L809" s="306" t="str">
        <f>IFERROR(VLOOKUP(B810,'Aktuelle Einnahmen'!A2:J104,10,0),"")</f>
        <v/>
      </c>
      <c r="M809" s="510" t="str">
        <f>M799</f>
        <v>Stufe C</v>
      </c>
      <c r="N809" s="237"/>
      <c r="O809" s="238"/>
      <c r="P809" s="238"/>
      <c r="Q809" s="239"/>
      <c r="R809" s="240"/>
      <c r="S809" s="241"/>
      <c r="T809" s="241"/>
      <c r="U809" s="242"/>
      <c r="V809" s="243"/>
      <c r="W809" s="241"/>
      <c r="X809" s="241"/>
      <c r="Y809" s="242"/>
      <c r="Z809" s="243"/>
      <c r="AA809" s="241"/>
      <c r="AB809" s="241"/>
      <c r="AC809" s="242"/>
      <c r="AD809" s="243"/>
      <c r="AE809" s="241"/>
      <c r="AF809" s="241"/>
      <c r="AG809" s="242"/>
      <c r="AH809" s="240"/>
      <c r="AI809" s="241"/>
      <c r="AJ809" s="241"/>
      <c r="AK809" s="377"/>
      <c r="AL809" s="347"/>
      <c r="AM809" s="353"/>
      <c r="AN809" s="353"/>
      <c r="AO809" s="353"/>
      <c r="AP809" s="353"/>
      <c r="AQ809" s="349"/>
      <c r="AR809" s="768"/>
      <c r="AS809" s="768"/>
      <c r="AT809" s="768"/>
      <c r="BM809" s="335"/>
    </row>
    <row r="810" spans="1:65" ht="23" customHeight="1">
      <c r="A810" s="181">
        <f t="shared" si="270"/>
        <v>45292</v>
      </c>
      <c r="B810" s="182">
        <v>81</v>
      </c>
      <c r="C810" s="245">
        <f>IFERROR(VLOOKUP($B810,'Aktuelle Einnahmen'!A2:G104,3,0),"")</f>
        <v>0</v>
      </c>
      <c r="D810" s="246">
        <f>IFERROR(VLOOKUP($B810,'Aktuelle Einnahmen'!A2:G104,2,0),"")</f>
        <v>0</v>
      </c>
      <c r="E810" s="247">
        <f>IFERROR(VLOOKUP($B810,'Aktuelle Einnahmen'!A2:G104,4,0),"")</f>
        <v>0</v>
      </c>
      <c r="F810" s="94">
        <f>IFERROR(VLOOKUP($B810,'Aktuelle Einnahmen'!A2:G104,5,0),"")</f>
        <v>0</v>
      </c>
      <c r="G810" s="94">
        <f>IFERROR(VLOOKUP($B810,'Aktuelle Einnahmen'!A2:G104,6,0),"")</f>
        <v>0</v>
      </c>
      <c r="H810" s="94">
        <f>IFERROR(VLOOKUP($B810,'Aktuelle Einnahmen'!A2:G104,7,0),"")</f>
        <v>0</v>
      </c>
      <c r="I810" s="186" t="e">
        <f>DATE(H810,G810,F810)</f>
        <v>#NUM!</v>
      </c>
      <c r="J810" s="472">
        <f ca="1">J800</f>
        <v>45475</v>
      </c>
      <c r="K810" s="501" t="str">
        <f t="shared" si="274"/>
        <v>+Inflat.-P</v>
      </c>
      <c r="L810" s="1262" t="str">
        <f>IFERROR(VLOOKUP(B810,'Aktuelle Einnahmen'!A22:I124,9,0),"")</f>
        <v>Auswahl treffen</v>
      </c>
      <c r="M810" s="1263"/>
      <c r="N810" s="261"/>
      <c r="O810" s="261"/>
      <c r="P810" s="261"/>
      <c r="Q810" s="261"/>
      <c r="R810" s="189"/>
      <c r="S810" s="190"/>
      <c r="T810" s="190"/>
      <c r="U810" s="191"/>
      <c r="V810" s="192"/>
      <c r="W810" s="190"/>
      <c r="X810" s="190"/>
      <c r="Y810" s="191"/>
      <c r="Z810" s="192"/>
      <c r="AA810" s="190"/>
      <c r="AB810" s="190"/>
      <c r="AC810" s="191"/>
      <c r="AD810" s="192"/>
      <c r="AE810" s="190"/>
      <c r="AF810" s="190"/>
      <c r="AG810" s="191"/>
      <c r="AH810" s="193"/>
      <c r="AI810" s="190"/>
      <c r="AJ810" s="190"/>
      <c r="AK810" s="374"/>
      <c r="AL810" s="348"/>
      <c r="AM810" s="354"/>
      <c r="AN810" s="354"/>
      <c r="AO810" s="354"/>
      <c r="AP810" s="354"/>
      <c r="AQ810" s="350"/>
      <c r="AR810" s="769"/>
      <c r="AS810" s="769"/>
      <c r="AT810" s="769"/>
      <c r="BM810" s="335"/>
    </row>
    <row r="811" spans="1:65" ht="22.25" customHeight="1">
      <c r="A811" s="181">
        <f t="shared" si="270"/>
        <v>45292</v>
      </c>
      <c r="B811" s="484" t="e">
        <f>DAY(I810)</f>
        <v>#NUM!</v>
      </c>
      <c r="C811" s="489" t="s">
        <v>158</v>
      </c>
      <c r="D811" s="520" t="e">
        <f>(I811*4)+J811/3+1</f>
        <v>#NUM!</v>
      </c>
      <c r="E811" s="194" t="e">
        <f>J813+1</f>
        <v>#NUM!</v>
      </c>
      <c r="F811" s="195" t="e">
        <f t="shared" ref="F811:F818" si="281">DAY(E811)</f>
        <v>#NUM!</v>
      </c>
      <c r="G811" s="196" t="e">
        <f t="shared" ref="G811:G818" si="282">MONTH(E811)</f>
        <v>#NUM!</v>
      </c>
      <c r="H811" s="195" t="e">
        <f t="shared" ref="H811:H818" si="283">YEAR(E811)</f>
        <v>#NUM!</v>
      </c>
      <c r="I811" s="197" t="e">
        <f>H811-(H810+2000)</f>
        <v>#NUM!</v>
      </c>
      <c r="J811" s="198" t="e">
        <f>G811-G810</f>
        <v>#NUM!</v>
      </c>
      <c r="K811" s="506" t="str">
        <f>L809</f>
        <v/>
      </c>
      <c r="L811" s="469"/>
      <c r="M811" s="473" t="e">
        <f ca="1">SUM(J810-E812)&amp;" Tage"</f>
        <v>#NUM!</v>
      </c>
      <c r="N811" s="206"/>
      <c r="O811" s="201"/>
      <c r="P811" s="201"/>
      <c r="Q811" s="202"/>
      <c r="R811" s="189"/>
      <c r="S811" s="203"/>
      <c r="T811" s="203"/>
      <c r="U811" s="204"/>
      <c r="V811" s="192"/>
      <c r="W811" s="203"/>
      <c r="X811" s="203"/>
      <c r="Y811" s="204"/>
      <c r="Z811" s="192"/>
      <c r="AA811" s="203"/>
      <c r="AB811" s="203"/>
      <c r="AC811" s="204"/>
      <c r="AD811" s="192"/>
      <c r="AE811" s="203"/>
      <c r="AF811" s="203"/>
      <c r="AG811" s="204"/>
      <c r="AH811" s="193"/>
      <c r="AI811" s="203"/>
      <c r="AJ811" s="203"/>
      <c r="AK811" s="375"/>
      <c r="AL811" s="348"/>
      <c r="AM811" s="354"/>
      <c r="AN811" s="354"/>
      <c r="AO811" s="354"/>
      <c r="AP811" s="354"/>
      <c r="AQ811" s="350"/>
      <c r="AR811" s="769"/>
      <c r="AS811" s="769"/>
      <c r="AT811" s="769"/>
      <c r="BM811" s="335"/>
    </row>
    <row r="812" spans="1:65" ht="22.25" customHeight="1">
      <c r="A812" s="181">
        <f t="shared" si="270"/>
        <v>45292</v>
      </c>
      <c r="B812" s="485"/>
      <c r="C812" s="490"/>
      <c r="D812" s="521"/>
      <c r="E812" s="194" t="e">
        <f>DATE(YEAR(E811),MONTH(E811)+3,DAY(E811)-1)</f>
        <v>#NUM!</v>
      </c>
      <c r="F812" s="195" t="e">
        <f t="shared" si="281"/>
        <v>#NUM!</v>
      </c>
      <c r="G812" s="196" t="e">
        <f t="shared" si="282"/>
        <v>#NUM!</v>
      </c>
      <c r="H812" s="195" t="e">
        <f t="shared" si="283"/>
        <v>#NUM!</v>
      </c>
      <c r="I812" s="244">
        <v>-1</v>
      </c>
      <c r="J812" s="198" t="e">
        <f>F811-F810</f>
        <v>#NUM!</v>
      </c>
      <c r="K812" s="501" t="str">
        <f t="shared" si="274"/>
        <v>+Inflat.-P</v>
      </c>
      <c r="L812" s="511" t="e">
        <f>IF(M809="Stufe A",IF(AND(L810="Auswahl treffen",D811&gt;=0,D811&lt;=1000),J809,IF(AND(L810="Vermögend und ambulant",D811&gt;8,D811&lt;=1000),130,IF(AND(L810="Vermögend und ambulant",D811&gt;4,D811&lt;=8),158,IF(AND(L810="Vermögend und ambulant",D811&gt;2,D811&lt;=4),192,IF(AND(L810="Vermögend und ambulant",D811&gt;1,D811&lt;=2),208,IF(AND(L810="Vermögend und ambulant",D811&gt;0,D811&lt;=1),298,IF(AND(L810="Vermögend und stationär",D811&gt;8,D811&lt;=1000),78,IF(AND(L810="Vermögend und stationär",D811&gt;4,D811&lt;=8),91,IF(AND(L810="Vermögend und stationär",D811&gt;2,D811&lt;=4),140,IF(AND(L810="Vermögend und stationär",D811&gt;1,D811&lt;=2),158,IF(AND(L810="Vermögend und stationär",D811&gt;0,D811&lt;=1),200,IF(AND(L810="Mittellos und ambulant",D811&gt;8,D811&lt;=1000),105,IF(AND(L810="Mittellos und ambulant",D811&gt;4,D811&lt;=8),122,IF(AND(L810="Mittellos und ambulant",D811&gt;2,D811&lt;=4),151,IF(AND(L810="Mittellos und ambulant",D811&gt;1,D811&lt;=2),170,IF(AND(L810="Mittellos und ambulant",D811&gt;0,D811&lt;=1),208,IF(AND(L810="Mittellos und stationär",D811&gt;8,D811&lt;=1000),62,IF(AND(L810="Mittellos und stationär",D811&gt;4,D811&lt;=8),87,IF(AND(L810="Mittellos und stationär",D811&gt;2,D811&lt;=4),124,IF(AND(L810="Mittellos und stationär",D811&gt;1,D811&lt;=2),129,IF(AND(L810="Mittellos und stationär",D811&gt;0,D811&lt;=1),194,""))))))))))))))))))))),IF(M809="Stufe B",IF(AND(L810="Auswahl treffen",D811&gt;=0,D811&lt;=1000),J809,IF(AND(L810="Vermögend und ambulant",D811&gt;8,D811&lt;=1000),161,IF(AND(L810="Vermögend und ambulant",D811&gt;4,D811&lt;=8),196,IF(AND(L810="Vermögend und ambulant",D811&gt;2,D811&lt;=4),238,IF(AND(L810="Vermögend und ambulant",D811&gt;1,D811&lt;=2),258,IF(AND(L810="Vermögend und ambulant",D811&gt;0,D811&lt;=1),370,IF(AND(L810="Vermögend und stationär",D811&gt;8,D811&lt;=1000),96,IF(AND(L810="Vermögend und stationär",D811&gt;4,D811&lt;=8),113,IF(AND(L810="Vermögend und stationär",D811&gt;2,D811&lt;=4),174,IF(AND(L810="Vermögend und stationär",D811&gt;1,D811&lt;=2),196,IF(AND(L810="Vermögend und stationär",D811&gt;0,D811&lt;=1),249,IF(AND(L810="Mittellos und ambulant",D811&gt;8,D811&lt;=1000),130,IF(AND(L810="Mittellos und ambulant",D811&gt;4,D811&lt;=8),151,IF(AND(L810="Mittellos und ambulant",D811&gt;2,D811&lt;=4),188,IF(AND(L810="Mittellos und ambulant",D811&gt;1,D811&lt;=2),211,IF(AND(L810="Mittellos und ambulant",D811&gt;0,D811&lt;=1),258,IF(AND(L810="Mittellos und stationär",D811&gt;8,D811&lt;=1000),78,IF(AND(L810="Mittellos und stationär",D811&gt;4,D811&lt;=8),107,IF(AND(L810="Mittellos und stationär",D811&gt;2,D811&lt;=4),154,IF(AND(L810="Mittellos und stationär",D811&gt;1,D811&lt;=2),158,IF(AND(L810="Mittellos und stationär",D811&gt;0,D811&lt;=1),241,""))))))))))))))))))))),IF(M809="Stufe C",IF(AND(L810="Auswahl treffen",D811&gt;=0,D811&lt;=1000),J809,IF(AND(L810="Vermögend und ambulant",D811&gt;8,D811&lt;=1000),211,IF(AND(L810="Vermögend und ambulant",D811&gt;4,D811&lt;=8),257,IF(AND(L810="Vermögend und ambulant",D811&gt;2,D811&lt;=4),312,IF(AND(L810="Vermögend und ambulant",D811&gt;1,D811&lt;=2),339,IF(AND(L810="Vermögend und ambulant",D811&gt;0,D811&lt;=1),486,IF(AND(L810="Vermögend und stationär",D811&gt;8,D811&lt;=1000),127,IF(AND(L810="Vermögend und stationär",D811&gt;4,D811&lt;=8),149,IF(AND(L810="Vermögend und stationär",D811&gt;2,D811&lt;=4),229,IF(AND(L810="Vermögend und stationär",D811&gt;1,D811&lt;=2),257,IF(AND(L810="Vermögend und stationär",D811&gt;0,D811&lt;=1),327,IF(AND(L810="Mittellos und ambulant",D811&gt;8,D811&lt;=1000),171,IF(AND(L810="Mittellos und ambulant",D811&gt;4,D811&lt;=8),198,IF(AND(L810="Mittellos und ambulant",D811&gt;2,D811&lt;=4),246,IF(AND(L810="Mittellos und ambulant",D811&gt;1,D811&lt;=2),277,IF(AND(L810="Mittellos und ambulant",D811&gt;0,D811&lt;=1),339,IF(AND(L810="Mittellos und stationär",D811&gt;8,D811&lt;=1000),102,IF(AND(L810="Mittellos und stationär",D811&gt;4,D811&lt;=8),141,IF(AND(L810="Mittellos und stationär",D811&gt;2,D811&lt;=4),202,IF(AND(L810="Mittellos und stationär",D811&gt;1,D811&lt;=2),208,IF(AND(L810="Mittellos und stationär",D811&gt;0,D811&lt;=1),317,""))))))))))))))))))))),"")))*3+(J809*90)</f>
        <v>#NUM!</v>
      </c>
      <c r="M812" s="507" t="str">
        <f>CONCATENATE(K812, K811)</f>
        <v>+Inflat.-P</v>
      </c>
      <c r="N812" s="206" t="s">
        <v>118</v>
      </c>
      <c r="O812" s="207"/>
      <c r="P812" s="207"/>
      <c r="Q812" s="208"/>
      <c r="R812" s="187"/>
      <c r="S812" s="209" t="s">
        <v>118</v>
      </c>
      <c r="T812" s="201" t="s">
        <v>117</v>
      </c>
      <c r="U812" s="210" t="s">
        <v>26</v>
      </c>
      <c r="V812" s="192"/>
      <c r="W812" s="203"/>
      <c r="X812" s="203"/>
      <c r="Y812" s="210"/>
      <c r="Z812" s="192"/>
      <c r="AA812" s="203"/>
      <c r="AB812" s="203"/>
      <c r="AC812" s="210"/>
      <c r="AD812" s="192"/>
      <c r="AE812" s="203"/>
      <c r="AF812" s="203"/>
      <c r="AG812" s="210"/>
      <c r="AH812" s="193"/>
      <c r="AI812" s="203"/>
      <c r="AJ812" s="203"/>
      <c r="AK812" s="376"/>
      <c r="AL812" s="348" t="s">
        <v>148</v>
      </c>
      <c r="AM812" s="354">
        <f>IF(SUM(N810:N818)=SUM(S810:S818), 0, SUM(N810:N818)-SUM(S810:S818))</f>
        <v>0</v>
      </c>
      <c r="AN812" s="354"/>
      <c r="AO812" s="354"/>
      <c r="AP812" s="354"/>
      <c r="AQ812" s="350">
        <f>AM812+AN812+AO812+AP812</f>
        <v>0</v>
      </c>
      <c r="AR812" s="769"/>
      <c r="AS812" s="769"/>
      <c r="AT812" s="769"/>
      <c r="BM812" s="335"/>
    </row>
    <row r="813" spans="1:65" ht="22.25" customHeight="1">
      <c r="A813" s="181">
        <f t="shared" si="270"/>
        <v>45292</v>
      </c>
      <c r="B813" s="484" t="e">
        <f>MONTH(I810)</f>
        <v>#NUM!</v>
      </c>
      <c r="C813" s="489" t="s">
        <v>158</v>
      </c>
      <c r="D813" s="522" t="e">
        <f>D811+1</f>
        <v>#NUM!</v>
      </c>
      <c r="E813" s="211" t="e">
        <f>DATE(YEAR(E812),MONTH(E812),DAY(E812)+1)</f>
        <v>#NUM!</v>
      </c>
      <c r="F813" s="212" t="e">
        <f t="shared" si="281"/>
        <v>#NUM!</v>
      </c>
      <c r="G813" s="213" t="e">
        <f t="shared" si="282"/>
        <v>#NUM!</v>
      </c>
      <c r="H813" s="212" t="e">
        <f t="shared" si="283"/>
        <v>#NUM!</v>
      </c>
      <c r="I813" s="214" t="str">
        <f>IF(D810&lt;&gt;0,"-1T","")</f>
        <v/>
      </c>
      <c r="J813" s="215" t="e">
        <f>DATE($B815,I814,$B811)</f>
        <v>#NUM!</v>
      </c>
      <c r="K813" s="506" t="str">
        <f t="shared" si="274"/>
        <v/>
      </c>
      <c r="L813" s="470"/>
      <c r="M813" s="473" t="e">
        <f ca="1">SUM(J810-E814)&amp;" Tage"</f>
        <v>#NUM!</v>
      </c>
      <c r="N813" s="216"/>
      <c r="O813" s="217"/>
      <c r="P813" s="188"/>
      <c r="Q813" s="217"/>
      <c r="R813" s="189"/>
      <c r="S813" s="190"/>
      <c r="T813" s="190"/>
      <c r="U813" s="191"/>
      <c r="V813" s="192"/>
      <c r="W813" s="190"/>
      <c r="X813" s="190"/>
      <c r="Y813" s="191"/>
      <c r="Z813" s="192"/>
      <c r="AA813" s="190"/>
      <c r="AB813" s="190"/>
      <c r="AC813" s="191"/>
      <c r="AD813" s="192"/>
      <c r="AE813" s="190"/>
      <c r="AF813" s="190"/>
      <c r="AG813" s="191"/>
      <c r="AH813" s="193"/>
      <c r="AI813" s="190"/>
      <c r="AJ813" s="190"/>
      <c r="AK813" s="374"/>
      <c r="AL813" s="348"/>
      <c r="AM813" s="354"/>
      <c r="AN813" s="354"/>
      <c r="AO813" s="354"/>
      <c r="AP813" s="354"/>
      <c r="AQ813" s="350"/>
      <c r="AR813" s="769"/>
      <c r="AS813" s="769"/>
      <c r="AT813" s="769"/>
      <c r="BM813" s="335"/>
    </row>
    <row r="814" spans="1:65" ht="22.25" customHeight="1">
      <c r="A814" s="181">
        <f t="shared" si="270"/>
        <v>45292</v>
      </c>
      <c r="B814" s="485"/>
      <c r="C814" s="490"/>
      <c r="D814" s="521"/>
      <c r="E814" s="218" t="e">
        <f>DATE(YEAR(E813),MONTH(E813)+3,DAY(E813)-1)</f>
        <v>#NUM!</v>
      </c>
      <c r="F814" s="212" t="e">
        <f t="shared" si="281"/>
        <v>#NUM!</v>
      </c>
      <c r="G814" s="213" t="e">
        <f t="shared" si="282"/>
        <v>#NUM!</v>
      </c>
      <c r="H814" s="212" t="e">
        <f t="shared" si="283"/>
        <v>#NUM!</v>
      </c>
      <c r="I814" s="219">
        <f>MAX(I815:I818)</f>
        <v>9</v>
      </c>
      <c r="J814" s="220" t="e">
        <f>DATE(YEAR(J813)+1,MONTH(J813),DAY(J813))</f>
        <v>#NUM!</v>
      </c>
      <c r="K814" s="501" t="str">
        <f t="shared" si="274"/>
        <v>+Inflat.-P</v>
      </c>
      <c r="L814" s="508" t="e">
        <f>IF(M809="Stufe A",IF(AND(L810="Auswahl treffen",D813&gt;=0,D813&lt;=1000),J809,IF(AND(L810="Vermögend und ambulant",D813&gt;8,D813&lt;=1000),130,IF(AND(L810="Vermögend und ambulant",D813&gt;4,D813&lt;=8),158,IF(AND(L810="Vermögend und ambulant",D813&gt;2,D813&lt;=4),192,IF(AND(L810="Vermögend und ambulant",D813&gt;1,D813&lt;=2),208,IF(AND(L810="Vermögend und ambulant",D813&gt;0,D813&lt;=1),298,IF(AND(L810="Vermögend und stationär",D813&gt;8,D813&lt;=1000),78,IF(AND(L810="Vermögend und stationär",D813&gt;4,D813&lt;=8),91,IF(AND(L810="Vermögend und stationär",D813&gt;2,D813&lt;=4),140,IF(AND(L810="Vermögend und stationär",D813&gt;1,D813&lt;=2),158,IF(AND(L810="Vermögend und stationär",D813&gt;0,D813&lt;=1),200,IF(AND(L810="Mittellos und ambulant",D813&gt;8,D813&lt;=1000),105,IF(AND(L810="Mittellos und ambulant",D813&gt;4,D813&lt;=8),122,IF(AND(L810="Mittellos und ambulant",D813&gt;2,D813&lt;=4),151,IF(AND(L810="Mittellos und ambulant",D813&gt;1,D813&lt;=2),170,IF(AND(L810="Mittellos und ambulant",D813&gt;0,D813&lt;=1),208,IF(AND(L810="Mittellos und stationär",D813&gt;8,D813&lt;=1000),62,IF(AND(L810="Mittellos und stationär",D813&gt;4,D813&lt;=8),87,IF(AND(L810="Mittellos und stationär",D813&gt;2,D813&lt;=4),124,IF(AND(L810="Mittellos und stationär",D813&gt;1,D813&lt;=2),129,IF(AND(L810="Mittellos und stationär",D813&gt;0,D813&lt;=1),194,""))))))))))))))))))))),IF(M809="Stufe B",IF(AND(L810="Auswahl treffen",D813&gt;=0,D813&lt;=1000),J809,IF(AND(L810="Vermögend und ambulant",D813&gt;8,D813&lt;=1000),161,IF(AND(L810="Vermögend und ambulant",D813&gt;4,D813&lt;=8),196,IF(AND(L810="Vermögend und ambulant",D813&gt;2,D813&lt;=4),238,IF(AND(L810="Vermögend und ambulant",D813&gt;1,D813&lt;=2),258,IF(AND(L810="Vermögend und ambulant",D813&gt;0,D813&lt;=1),370,IF(AND(L810="Vermögend und stationär",D813&gt;8,D813&lt;=1000),96,IF(AND(L810="Vermögend und stationär",D813&gt;4,D813&lt;=8),113,IF(AND(L810="Vermögend und stationär",D813&gt;2,D813&lt;=4),174,IF(AND(L810="Vermögend und stationär",D813&gt;1,D813&lt;=2),196,IF(AND(L810="Vermögend und stationär",D813&gt;0,D813&lt;=1),249,IF(AND(L810="Mittellos und ambulant",D813&gt;8,D813&lt;=1000),130,IF(AND(L810="Mittellos und ambulant",D813&gt;4,D813&lt;=8),151,IF(AND(L810="Mittellos und ambulant",D813&gt;2,D813&lt;=4),188,IF(AND(L810="Mittellos und ambulant",D813&gt;1,D813&lt;=2),211,IF(AND(L810="Mittellos und ambulant",D813&gt;0,D813&lt;=1),258,IF(AND(L810="Mittellos und stationär",D813&gt;8,D813&lt;=1000),78,IF(AND(L810="Mittellos und stationär",D813&gt;4,D813&lt;=8),107,IF(AND(L810="Mittellos und stationär",D813&gt;2,D813&lt;=4),154,IF(AND(L810="Mittellos und stationär",D813&gt;1,D813&lt;=2),158,IF(AND(L810="Mittellos und stationär",D813&gt;0,D813&lt;=1),241,""))))))))))))))))))))),IF(M809="Stufe C",IF(AND(L810="Auswahl treffen",D813&gt;=0,D813&lt;=1000),J809,IF(AND(L810="Vermögend und ambulant",D813&gt;8,D813&lt;=1000),211,IF(AND(L810="Vermögend und ambulant",D813&gt;4,D813&lt;=8),257,IF(AND(L810="Vermögend und ambulant",D813&gt;2,D813&lt;=4),312,IF(AND(L810="Vermögend und ambulant",D813&gt;1,D813&lt;=2),339,IF(AND(L810="Vermögend und ambulant",D813&gt;0,D813&lt;=1),486,IF(AND(L810="Vermögend und stationär",D813&gt;8,D813&lt;=1000),127,IF(AND(L810="Vermögend und stationär",D813&gt;4,D813&lt;=8),149,IF(AND(L810="Vermögend und stationär",D813&gt;2,D813&lt;=4),229,IF(AND(L810="Vermögend und stationär",D813&gt;1,D813&lt;=2),257,IF(AND(L810="Vermögend und stationär",D813&gt;0,D813&lt;=1),327,IF(AND(L810="Mittellos und ambulant",D813&gt;8,D813&lt;=1000),171,IF(AND(L810="Mittellos und ambulant",D813&gt;4,D813&lt;=8),198,IF(AND(L810="Mittellos und ambulant",D813&gt;2,D813&lt;=4),246,IF(AND(L810="Mittellos und ambulant",D813&gt;1,D813&lt;=2),277,IF(AND(L810="Mittellos und ambulant",D813&gt;0,D813&lt;=1),339,IF(AND(L810="Mittellos und stationär",D813&gt;8,D813&lt;=1000),102,IF(AND(L810="Mittellos und stationär",D813&gt;4,D813&lt;=8),141,IF(AND(L810="Mittellos und stationär",D813&gt;2,D813&lt;=4),202,IF(AND(L810="Mittellos und stationär",D813&gt;1,D813&lt;=2),208,IF(AND(L810="Mittellos und stationär",D813&gt;0,D813&lt;=1),317,""))))))))))))))))))))),"")))*3+(J809*90)</f>
        <v>#NUM!</v>
      </c>
      <c r="M814" s="507" t="str">
        <f>CONCATENATE(K814, K813)</f>
        <v>+Inflat.-P</v>
      </c>
      <c r="N814" s="216"/>
      <c r="O814" s="188" t="s">
        <v>118</v>
      </c>
      <c r="P814" s="188"/>
      <c r="Q814" s="221"/>
      <c r="R814" s="199"/>
      <c r="S814" s="190"/>
      <c r="T814" s="190"/>
      <c r="U814" s="191"/>
      <c r="V814" s="192"/>
      <c r="W814" s="222" t="s">
        <v>118</v>
      </c>
      <c r="X814" s="222" t="s">
        <v>117</v>
      </c>
      <c r="Y814" s="191" t="s">
        <v>26</v>
      </c>
      <c r="Z814" s="192"/>
      <c r="AA814" s="190"/>
      <c r="AB814" s="190"/>
      <c r="AC814" s="191"/>
      <c r="AD814" s="192"/>
      <c r="AE814" s="190"/>
      <c r="AF814" s="190"/>
      <c r="AG814" s="191"/>
      <c r="AH814" s="193"/>
      <c r="AI814" s="190"/>
      <c r="AJ814" s="190"/>
      <c r="AK814" s="374"/>
      <c r="AL814" s="348" t="s">
        <v>149</v>
      </c>
      <c r="AM814" s="354"/>
      <c r="AN814" s="354">
        <f>IF(SUM(O810:O818)=SUM(W810:W818), 0, SUM(O810:O818)-SUM(W810:W818))</f>
        <v>0</v>
      </c>
      <c r="AO814" s="354"/>
      <c r="AP814" s="354"/>
      <c r="AQ814" s="350">
        <f>AM814+AN814+AO814+AP814</f>
        <v>0</v>
      </c>
      <c r="AR814" s="769"/>
      <c r="AS814" s="769"/>
      <c r="AT814" s="769"/>
      <c r="BM814" s="335"/>
    </row>
    <row r="815" spans="1:65" ht="22.25" customHeight="1">
      <c r="A815" s="181">
        <f t="shared" si="270"/>
        <v>45292</v>
      </c>
      <c r="B815" s="484">
        <f>YEAR($A816)-1</f>
        <v>2023</v>
      </c>
      <c r="C815" s="489" t="s">
        <v>158</v>
      </c>
      <c r="D815" s="520" t="e">
        <f>D813+1</f>
        <v>#NUM!</v>
      </c>
      <c r="E815" s="194" t="e">
        <f>DATE(YEAR(E814),MONTH(E814),DAY(E814)+1)</f>
        <v>#NUM!</v>
      </c>
      <c r="F815" s="195" t="e">
        <f t="shared" si="281"/>
        <v>#NUM!</v>
      </c>
      <c r="G815" s="196" t="e">
        <f t="shared" si="282"/>
        <v>#NUM!</v>
      </c>
      <c r="H815" s="195" t="e">
        <f t="shared" si="283"/>
        <v>#NUM!</v>
      </c>
      <c r="I815" s="197">
        <f>IF(J817&lt;13,J817,"")</f>
        <v>9</v>
      </c>
      <c r="J815" s="224">
        <f>G810</f>
        <v>0</v>
      </c>
      <c r="K815" s="506" t="str">
        <f t="shared" si="274"/>
        <v/>
      </c>
      <c r="L815" s="471"/>
      <c r="M815" s="473" t="e">
        <f ca="1">SUM(J810-E816)&amp;" Tage"</f>
        <v>#NUM!</v>
      </c>
      <c r="N815" s="200"/>
      <c r="O815" s="201"/>
      <c r="P815" s="201"/>
      <c r="Q815" s="202"/>
      <c r="R815" s="189"/>
      <c r="S815" s="203"/>
      <c r="T815" s="203"/>
      <c r="U815" s="204"/>
      <c r="V815" s="192"/>
      <c r="W815" s="203"/>
      <c r="X815" s="203"/>
      <c r="Y815" s="204"/>
      <c r="Z815" s="192"/>
      <c r="AA815" s="203"/>
      <c r="AB815" s="203"/>
      <c r="AC815" s="204"/>
      <c r="AD815" s="192"/>
      <c r="AE815" s="203"/>
      <c r="AF815" s="203"/>
      <c r="AG815" s="204"/>
      <c r="AH815" s="193"/>
      <c r="AI815" s="203"/>
      <c r="AJ815" s="203"/>
      <c r="AK815" s="375"/>
      <c r="AL815" s="348"/>
      <c r="AM815" s="354"/>
      <c r="AN815" s="354"/>
      <c r="AO815" s="354"/>
      <c r="AP815" s="354"/>
      <c r="AQ815" s="350"/>
      <c r="AR815" s="769"/>
      <c r="AS815" s="769"/>
      <c r="AT815" s="769"/>
      <c r="BM815" s="335"/>
    </row>
    <row r="816" spans="1:65" ht="22.25" customHeight="1">
      <c r="A816" s="181">
        <f t="shared" si="270"/>
        <v>45292</v>
      </c>
      <c r="B816" s="485"/>
      <c r="C816" s="490"/>
      <c r="D816" s="521"/>
      <c r="E816" s="194" t="e">
        <f>DATE(YEAR(E815),MONTH(E815)+3,DAY(E815)-1)</f>
        <v>#NUM!</v>
      </c>
      <c r="F816" s="195" t="e">
        <f t="shared" si="281"/>
        <v>#NUM!</v>
      </c>
      <c r="G816" s="196" t="e">
        <f t="shared" si="282"/>
        <v>#NUM!</v>
      </c>
      <c r="H816" s="195" t="e">
        <f t="shared" si="283"/>
        <v>#NUM!</v>
      </c>
      <c r="I816" s="244">
        <f>IF(J818&lt;13,J818,"")</f>
        <v>6</v>
      </c>
      <c r="J816" s="224">
        <f>J815+3</f>
        <v>3</v>
      </c>
      <c r="K816" s="501" t="str">
        <f t="shared" si="274"/>
        <v>+Inflat.-P</v>
      </c>
      <c r="L816" s="511" t="e">
        <f>IF(M809="Stufe A",IF(AND(L810="Auswahl treffen",D815&gt;=0,D815&lt;=1000),J809,IF(AND(L810="Vermögend und ambulant",D815&gt;8,D815&lt;=1000),130,IF(AND(L810="Vermögend und ambulant",D815&gt;4,D815&lt;=8),158,IF(AND(L810="Vermögend und ambulant",D815&gt;2,D815&lt;=4),192,IF(AND(L810="Vermögend und ambulant",D815&gt;1,D815&lt;=2),208,IF(AND(L810="Vermögend und ambulant",D815&gt;0,D815&lt;=1),298,IF(AND(L810="Vermögend und stationär",D815&gt;8,D815&lt;=1000),78,IF(AND(L810="Vermögend und stationär",D815&gt;4,D815&lt;=8),91,IF(AND(L810="Vermögend und stationär",D815&gt;2,D815&lt;=4),140,IF(AND(L810="Vermögend und stationär",D815&gt;1,D815&lt;=2),158,IF(AND(L810="Vermögend und stationär",D815&gt;0,D815&lt;=1),200,IF(AND(L810="Mittellos und ambulant",D815&gt;8,D815&lt;=1000),105,IF(AND(L810="Mittellos und ambulant",D815&gt;4,D815&lt;=8),122,IF(AND(L810="Mittellos und ambulant",D815&gt;2,D815&lt;=4),151,IF(AND(L810="Mittellos und ambulant",D815&gt;1,D815&lt;=2),170,IF(AND(L810="Mittellos und ambulant",D815&gt;0,D815&lt;=1),208,IF(AND(L810="Mittellos und stationär",D815&gt;8,D815&lt;=1000),62,IF(AND(L810="Mittellos und stationär",D815&gt;4,D815&lt;=8),87,IF(AND(L810="Mittellos und stationär",D815&gt;2,D815&lt;=4),124,IF(AND(L810="Mittellos und stationär",D815&gt;1,D815&lt;=2),129,IF(AND(L810="Mittellos und stationär",D815&gt;0,D815&lt;=1),194,""))))))))))))))))))))),IF(M809="Stufe B",IF(AND(L810="Auswahl treffen",D815&gt;=0,D815&lt;=1000),J809,IF(AND(L810="Vermögend und ambulant",D815&gt;8,D815&lt;=1000),161,IF(AND(L810="Vermögend und ambulant",D815&gt;4,D815&lt;=8),196,IF(AND(L810="Vermögend und ambulant",D815&gt;2,D815&lt;=4),238,IF(AND(L810="Vermögend und ambulant",D815&gt;1,D815&lt;=2),258,IF(AND(L810="Vermögend und ambulant",D815&gt;0,D815&lt;=1),370,IF(AND(L810="Vermögend und stationär",D815&gt;8,D815&lt;=1000),96,IF(AND(L810="Vermögend und stationär",D815&gt;4,D815&lt;=8),113,IF(AND(L810="Vermögend und stationär",D815&gt;2,D815&lt;=4),174,IF(AND(L810="Vermögend und stationär",D815&gt;1,D815&lt;=2),196,IF(AND(L810="Vermögend und stationär",D815&gt;0,D815&lt;=1),249,IF(AND(L810="Mittellos und ambulant",D815&gt;8,D815&lt;=1000),130,IF(AND(L810="Mittellos und ambulant",D815&gt;4,D815&lt;=8),151,IF(AND(L810="Mittellos und ambulant",D815&gt;2,D815&lt;=4),188,IF(AND(L810="Mittellos und ambulant",D815&gt;1,D815&lt;=2),211,IF(AND(L810="Mittellos und ambulant",D815&gt;0,D815&lt;=1),258,IF(AND(L810="Mittellos und stationär",D815&gt;8,D815&lt;=1000),78,IF(AND(L810="Mittellos und stationär",D815&gt;4,D815&lt;=8),107,IF(AND(L810="Mittellos und stationär",D815&gt;2,D815&lt;=4),154,IF(AND(L810="Mittellos und stationär",D815&gt;1,D815&lt;=2),158,IF(AND(L810="Mittellos und stationär",D815&gt;0,D815&lt;=1),241,""))))))))))))))))))))),IF(M809="Stufe C",IF(AND(L810="Auswahl treffen",D815&gt;=0,D815&lt;=1000),J809,IF(AND(L810="Vermögend und ambulant",D815&gt;8,D815&lt;=1000),211,IF(AND(L810="Vermögend und ambulant",D815&gt;4,D815&lt;=8),257,IF(AND(L810="Vermögend und ambulant",D815&gt;2,D815&lt;=4),312,IF(AND(L810="Vermögend und ambulant",D815&gt;1,D815&lt;=2),339,IF(AND(L810="Vermögend und ambulant",D815&gt;0,D815&lt;=1),486,IF(AND(L810="Vermögend und stationär",D815&gt;8,D815&lt;=1000),127,IF(AND(L810="Vermögend und stationär",D815&gt;4,D815&lt;=8),149,IF(AND(L810="Vermögend und stationär",D815&gt;2,D815&lt;=4),229,IF(AND(L810="Vermögend und stationär",D815&gt;1,D815&lt;=2),257,IF(AND(L810="Vermögend und stationär",D815&gt;0,D815&lt;=1),327,IF(AND(L810="Mittellos und ambulant",D815&gt;8,D815&lt;=1000),171,IF(AND(L810="Mittellos und ambulant",D815&gt;4,D815&lt;=8),198,IF(AND(L810="Mittellos und ambulant",D815&gt;2,D815&lt;=4),246,IF(AND(L810="Mittellos und ambulant",D815&gt;1,D815&lt;=2),277,IF(AND(L810="Mittellos und ambulant",D815&gt;0,D815&lt;=1),339,IF(AND(L810="Mittellos und stationär",D815&gt;8,D815&lt;=1000),102,IF(AND(L810="Mittellos und stationär",D815&gt;4,D815&lt;=8),141,IF(AND(L810="Mittellos und stationär",D815&gt;2,D815&lt;=4),202,IF(AND(L810="Mittellos und stationär",D815&gt;1,D815&lt;=2),208,IF(AND(L810="Mittellos und stationär",D815&gt;0,D815&lt;=1),317,""))))))))))))))))))))),"")))*3+(J809*90)</f>
        <v>#NUM!</v>
      </c>
      <c r="M816" s="507" t="str">
        <f>CONCATENATE(K816, K815)</f>
        <v>+Inflat.-P</v>
      </c>
      <c r="N816" s="206"/>
      <c r="O816" s="207"/>
      <c r="P816" s="206" t="s">
        <v>118</v>
      </c>
      <c r="Q816" s="226"/>
      <c r="R816" s="189"/>
      <c r="S816" s="203"/>
      <c r="T816" s="203"/>
      <c r="U816" s="204"/>
      <c r="V816" s="192"/>
      <c r="W816" s="203"/>
      <c r="X816" s="203"/>
      <c r="Y816" s="204"/>
      <c r="Z816" s="192"/>
      <c r="AA816" s="209" t="s">
        <v>118</v>
      </c>
      <c r="AB816" s="209" t="s">
        <v>117</v>
      </c>
      <c r="AC816" s="204" t="s">
        <v>26</v>
      </c>
      <c r="AD816" s="192"/>
      <c r="AE816" s="203"/>
      <c r="AF816" s="203"/>
      <c r="AG816" s="204"/>
      <c r="AH816" s="193"/>
      <c r="AI816" s="203"/>
      <c r="AJ816" s="203"/>
      <c r="AK816" s="375"/>
      <c r="AL816" s="348" t="s">
        <v>150</v>
      </c>
      <c r="AM816" s="354"/>
      <c r="AN816" s="354"/>
      <c r="AO816" s="354">
        <f>IF(SUM(P810:P818)=SUM(AA810:AA818), 0, SUM(P810:P818)-SUM(AA810:AA818))</f>
        <v>0</v>
      </c>
      <c r="AP816" s="354"/>
      <c r="AQ816" s="350">
        <f>AM816+AN816+AO816+AP816</f>
        <v>0</v>
      </c>
      <c r="AR816" s="769"/>
      <c r="AS816" s="769"/>
      <c r="AT816" s="769"/>
      <c r="BM816" s="335"/>
    </row>
    <row r="817" spans="1:65" ht="22.25" customHeight="1">
      <c r="A817" s="181">
        <f t="shared" si="270"/>
        <v>45292</v>
      </c>
      <c r="B817" s="486"/>
      <c r="C817" s="489" t="s">
        <v>158</v>
      </c>
      <c r="D817" s="522" t="e">
        <f>D815+1</f>
        <v>#NUM!</v>
      </c>
      <c r="E817" s="211" t="e">
        <f>DATE(YEAR(E816),MONTH(E816),DAY(E816)+1)</f>
        <v>#NUM!</v>
      </c>
      <c r="F817" s="227" t="e">
        <f t="shared" si="281"/>
        <v>#NUM!</v>
      </c>
      <c r="G817" s="228" t="e">
        <f t="shared" si="282"/>
        <v>#NUM!</v>
      </c>
      <c r="H817" s="227" t="e">
        <f t="shared" si="283"/>
        <v>#NUM!</v>
      </c>
      <c r="I817" s="231">
        <f>IF(J816&lt;13,J816,"")</f>
        <v>3</v>
      </c>
      <c r="J817" s="230">
        <f>J818+3</f>
        <v>9</v>
      </c>
      <c r="K817" s="501" t="str">
        <f t="shared" si="274"/>
        <v/>
      </c>
      <c r="L817" s="471"/>
      <c r="M817" s="473" t="e">
        <f ca="1">SUM(J810-E818)&amp;" Tage"</f>
        <v>#NUM!</v>
      </c>
      <c r="N817" s="216"/>
      <c r="O817" s="188"/>
      <c r="P817" s="188"/>
      <c r="Q817" s="217"/>
      <c r="R817" s="189"/>
      <c r="S817" s="190"/>
      <c r="T817" s="190"/>
      <c r="U817" s="191"/>
      <c r="V817" s="192"/>
      <c r="W817" s="190"/>
      <c r="X817" s="190"/>
      <c r="Y817" s="191"/>
      <c r="Z817" s="192"/>
      <c r="AA817" s="190"/>
      <c r="AB817" s="190"/>
      <c r="AC817" s="191"/>
      <c r="AD817" s="192"/>
      <c r="AE817" s="190"/>
      <c r="AF817" s="190"/>
      <c r="AG817" s="191"/>
      <c r="AH817" s="193"/>
      <c r="AI817" s="190"/>
      <c r="AJ817" s="190"/>
      <c r="AK817" s="374"/>
      <c r="AL817" s="348"/>
      <c r="AM817" s="354"/>
      <c r="AN817" s="354"/>
      <c r="AO817" s="354"/>
      <c r="AP817" s="354"/>
      <c r="AQ817" s="350"/>
      <c r="AR817" s="769"/>
      <c r="AS817" s="769"/>
      <c r="AT817" s="769"/>
      <c r="BM817" s="335"/>
    </row>
    <row r="818" spans="1:65" ht="22.25" customHeight="1">
      <c r="A818" s="181">
        <f t="shared" si="270"/>
        <v>45292</v>
      </c>
      <c r="B818" s="485"/>
      <c r="C818" s="490"/>
      <c r="D818" s="521"/>
      <c r="E818" s="218" t="e">
        <f>DATE(YEAR(E817),MONTH(E817)+3,DAY(E817)-1)</f>
        <v>#NUM!</v>
      </c>
      <c r="F818" s="227" t="e">
        <f t="shared" si="281"/>
        <v>#NUM!</v>
      </c>
      <c r="G818" s="228" t="e">
        <f t="shared" si="282"/>
        <v>#NUM!</v>
      </c>
      <c r="H818" s="227" t="e">
        <f t="shared" si="283"/>
        <v>#NUM!</v>
      </c>
      <c r="I818" s="231">
        <f>IF(J815&lt;13,J815,"")</f>
        <v>0</v>
      </c>
      <c r="J818" s="230">
        <f>J816+3</f>
        <v>6</v>
      </c>
      <c r="K818" s="506" t="str">
        <f t="shared" si="274"/>
        <v>+Inflat.-P</v>
      </c>
      <c r="L818" s="508" t="e">
        <f>IF(M809="Stufe A",IF(AND(L810="Auswahl treffen",D817&gt;=0,D817&lt;=1000),J809,IF(AND(L810="Vermögend und ambulant",D817&gt;8,D817&lt;=1000),130,IF(AND(L810="Vermögend und ambulant",D817&gt;4,D817&lt;=8),158,IF(AND(L810="Vermögend und ambulant",D817&gt;2,D817&lt;=4),192,IF(AND(L810="Vermögend und ambulant",D817&gt;1,D817&lt;=2),208,IF(AND(L810="Vermögend und ambulant",D817&gt;0,D817&lt;=1),298,IF(AND(L810="Vermögend und stationär",D817&gt;8,D817&lt;=1000),78,IF(AND(L810="Vermögend und stationär",D817&gt;4,D817&lt;=8),91,IF(AND(L810="Vermögend und stationär",D817&gt;2,D817&lt;=4),140,IF(AND(L810="Vermögend und stationär",D817&gt;1,D817&lt;=2),158,IF(AND(L810="Vermögend und stationär",D817&gt;0,D817&lt;=1),200,IF(AND(L810="Mittellos und ambulant",D817&gt;8,D817&lt;=1000),105,IF(AND(L810="Mittellos und ambulant",D817&gt;4,D817&lt;=8),122,IF(AND(L810="Mittellos und ambulant",D817&gt;2,D817&lt;=4),151,IF(AND(L810="Mittellos und ambulant",D817&gt;1,D817&lt;=2),170,IF(AND(L810="Mittellos und ambulant",D817&gt;0,D817&lt;=1),208,IF(AND(L810="Mittellos und stationär",D817&gt;8,D817&lt;=1000),62,IF(AND(L810="Mittellos und stationär",D817&gt;4,D817&lt;=8),87,IF(AND(L810="Mittellos und stationär",D817&gt;2,D817&lt;=4),124,IF(AND(L810="Mittellos und stationär",D817&gt;1,D817&lt;=2),129,IF(AND(L810="Mittellos und stationär",D817&gt;0,D817&lt;=1),194,""))))))))))))))))))))),IF(M809="Stufe B",IF(AND(L810="Auswahl treffen",D817&gt;=0,D817&lt;=1000),J809,IF(AND(L810="Vermögend und ambulant",D817&gt;8,D817&lt;=1000),161,IF(AND(L810="Vermögend und ambulant",D817&gt;4,D817&lt;=8),196,IF(AND(L810="Vermögend und ambulant",D817&gt;2,D817&lt;=4),238,IF(AND(L810="Vermögend und ambulant",D817&gt;1,D817&lt;=2),258,IF(AND(L810="Vermögend und ambulant",D817&gt;0,D817&lt;=1),370,IF(AND(L810="Vermögend und stationär",D817&gt;8,D817&lt;=1000),96,IF(AND(L810="Vermögend und stationär",D817&gt;4,D817&lt;=8),113,IF(AND(L810="Vermögend und stationär",D817&gt;2,D817&lt;=4),174,IF(AND(L810="Vermögend und stationär",D817&gt;1,D817&lt;=2),196,IF(AND(L810="Vermögend und stationär",D817&gt;0,D817&lt;=1),249,IF(AND(L810="Mittellos und ambulant",D817&gt;8,D817&lt;=1000),130,IF(AND(L810="Mittellos und ambulant",D817&gt;4,D817&lt;=8),151,IF(AND(L810="Mittellos und ambulant",D817&gt;2,D817&lt;=4),188,IF(AND(L810="Mittellos und ambulant",D817&gt;1,D817&lt;=2),211,IF(AND(L810="Mittellos und ambulant",D817&gt;0,D817&lt;=1),258,IF(AND(L810="Mittellos und stationär",D817&gt;8,D817&lt;=1000),78,IF(AND(L810="Mittellos und stationär",D817&gt;4,D817&lt;=8),107,IF(AND(L810="Mittellos und stationär",D817&gt;2,D817&lt;=4),154,IF(AND(L810="Mittellos und stationär",D817&gt;1,D817&lt;=2),158,IF(AND(L810="Mittellos und stationär",D817&gt;0,D817&lt;=1),241,""))))))))))))))))))))),IF(M809="Stufe C",IF(AND(L810="Auswahl treffen",D817&gt;=0,D817&lt;=1000),J809,IF(AND(L810="Vermögend und ambulant",D817&gt;8,D817&lt;=1000),211,IF(AND(L810="Vermögend und ambulant",D817&gt;4,D817&lt;=8),257,IF(AND(L810="Vermögend und ambulant",D817&gt;2,D817&lt;=4),312,IF(AND(L810="Vermögend und ambulant",D817&gt;1,D817&lt;=2),339,IF(AND(L810="Vermögend und ambulant",D817&gt;0,D817&lt;=1),486,IF(AND(L810="Vermögend und stationär",D817&gt;8,D817&lt;=1000),127,IF(AND(L810="Vermögend und stationär",D817&gt;4,D817&lt;=8),149,IF(AND(L810="Vermögend und stationär",D817&gt;2,D817&lt;=4),229,IF(AND(L810="Vermögend und stationär",D817&gt;1,D817&lt;=2),257,IF(AND(L810="Vermögend und stationär",D817&gt;0,D817&lt;=1),327,IF(AND(L810="Mittellos und ambulant",D817&gt;8,D817&lt;=1000),171,IF(AND(L810="Mittellos und ambulant",D817&gt;4,D817&lt;=8),198,IF(AND(L810="Mittellos und ambulant",D817&gt;2,D817&lt;=4),246,IF(AND(L810="Mittellos und ambulant",D817&gt;1,D817&lt;=2),277,IF(AND(L810="Mittellos und ambulant",D817&gt;0,D817&lt;=1),339,IF(AND(L810="Mittellos und stationär",D817&gt;8,D817&lt;=1000),102,IF(AND(L810="Mittellos und stationär",D817&gt;4,D817&lt;=8),141,IF(AND(L810="Mittellos und stationär",D817&gt;2,D817&lt;=4),202,IF(AND(L810="Mittellos und stationär",D817&gt;1,D817&lt;=2),208,IF(AND(L810="Mittellos und stationär",D817&gt;0,D817&lt;=1),317,""))))))))))))))))))))),"")))*3+(J809*90)</f>
        <v>#NUM!</v>
      </c>
      <c r="M818" s="507" t="str">
        <f>CONCATENATE(K818, K817)</f>
        <v>+Inflat.-P</v>
      </c>
      <c r="N818" s="216"/>
      <c r="O818" s="188"/>
      <c r="P818" s="188"/>
      <c r="Q818" s="217" t="s">
        <v>118</v>
      </c>
      <c r="R818" s="189"/>
      <c r="S818" s="190"/>
      <c r="T818" s="190"/>
      <c r="U818" s="191"/>
      <c r="V818" s="192"/>
      <c r="W818" s="190"/>
      <c r="X818" s="190"/>
      <c r="Y818" s="191"/>
      <c r="Z818" s="192"/>
      <c r="AA818" s="190"/>
      <c r="AB818" s="190"/>
      <c r="AC818" s="191"/>
      <c r="AD818" s="192"/>
      <c r="AE818" s="190" t="s">
        <v>118</v>
      </c>
      <c r="AF818" s="190" t="s">
        <v>117</v>
      </c>
      <c r="AG818" s="191" t="s">
        <v>26</v>
      </c>
      <c r="AH818" s="193"/>
      <c r="AI818" s="190" t="s">
        <v>118</v>
      </c>
      <c r="AJ818" s="190" t="s">
        <v>117</v>
      </c>
      <c r="AK818" s="374" t="s">
        <v>26</v>
      </c>
      <c r="AL818" s="348" t="s">
        <v>151</v>
      </c>
      <c r="AM818" s="354"/>
      <c r="AN818" s="354"/>
      <c r="AO818" s="354"/>
      <c r="AP818" s="354">
        <f>IF(SUM(Q810:Q818)=SUM(AE810:AE818,AI810:AI818), 0, SUM(Q810:Q818)-SUM(AE810:AE818,AI810:AI818))</f>
        <v>0</v>
      </c>
      <c r="AQ818" s="350">
        <f>AM818+AN818+AO818+AP818</f>
        <v>0</v>
      </c>
      <c r="AR818" s="769"/>
      <c r="AS818" s="769"/>
      <c r="AT818" s="769"/>
      <c r="BM818" s="335"/>
    </row>
    <row r="819" spans="1:65" ht="22" customHeight="1">
      <c r="A819" s="181">
        <f t="shared" si="270"/>
        <v>45292</v>
      </c>
      <c r="B819" s="232" t="s">
        <v>74</v>
      </c>
      <c r="C819" s="233" t="s">
        <v>75</v>
      </c>
      <c r="D819" s="234" t="s">
        <v>76</v>
      </c>
      <c r="E819" s="235" t="s">
        <v>11</v>
      </c>
      <c r="F819" s="235" t="s">
        <v>4</v>
      </c>
      <c r="G819" s="235" t="s">
        <v>5</v>
      </c>
      <c r="H819" s="235" t="s">
        <v>6</v>
      </c>
      <c r="I819" s="236" t="s">
        <v>77</v>
      </c>
      <c r="J819" s="306"/>
      <c r="K819" s="501" t="str">
        <f t="shared" si="274"/>
        <v/>
      </c>
      <c r="L819" s="306" t="str">
        <f>IFERROR(VLOOKUP(B820,'Aktuelle Einnahmen'!A2:J104,10,0),"")</f>
        <v/>
      </c>
      <c r="M819" s="510" t="str">
        <f>M809</f>
        <v>Stufe C</v>
      </c>
      <c r="N819" s="237"/>
      <c r="O819" s="238"/>
      <c r="P819" s="238"/>
      <c r="Q819" s="239"/>
      <c r="R819" s="240"/>
      <c r="S819" s="241"/>
      <c r="T819" s="241"/>
      <c r="U819" s="242"/>
      <c r="V819" s="243"/>
      <c r="W819" s="241"/>
      <c r="X819" s="241"/>
      <c r="Y819" s="242"/>
      <c r="Z819" s="243"/>
      <c r="AA819" s="241"/>
      <c r="AB819" s="241"/>
      <c r="AC819" s="242"/>
      <c r="AD819" s="243"/>
      <c r="AE819" s="241"/>
      <c r="AF819" s="241"/>
      <c r="AG819" s="242"/>
      <c r="AH819" s="240"/>
      <c r="AI819" s="241"/>
      <c r="AJ819" s="241"/>
      <c r="AK819" s="377"/>
      <c r="AL819" s="347"/>
      <c r="AM819" s="353"/>
      <c r="AN819" s="353"/>
      <c r="AO819" s="353"/>
      <c r="AP819" s="353"/>
      <c r="AQ819" s="349"/>
      <c r="AR819" s="768"/>
      <c r="AS819" s="768"/>
      <c r="AT819" s="768"/>
      <c r="BM819" s="335"/>
    </row>
    <row r="820" spans="1:65" ht="23" customHeight="1">
      <c r="A820" s="181">
        <f t="shared" si="270"/>
        <v>45292</v>
      </c>
      <c r="B820" s="182">
        <v>82</v>
      </c>
      <c r="C820" s="245">
        <f>IFERROR(VLOOKUP($B820,'Aktuelle Einnahmen'!A2:G104,3,0),"")</f>
        <v>0</v>
      </c>
      <c r="D820" s="246">
        <f>IFERROR(VLOOKUP($B820,'Aktuelle Einnahmen'!A2:G104,2,0),"")</f>
        <v>0</v>
      </c>
      <c r="E820" s="247">
        <f>IFERROR(VLOOKUP($B820,'Aktuelle Einnahmen'!A2:G104,4,0),"")</f>
        <v>0</v>
      </c>
      <c r="F820" s="94">
        <f>IFERROR(VLOOKUP($B820,'Aktuelle Einnahmen'!A2:G104,5,0),"")</f>
        <v>0</v>
      </c>
      <c r="G820" s="94">
        <f>IFERROR(VLOOKUP($B820,'Aktuelle Einnahmen'!A2:G104,6,0),"")</f>
        <v>0</v>
      </c>
      <c r="H820" s="94">
        <f>IFERROR(VLOOKUP($B820,'Aktuelle Einnahmen'!A2:G104,7,0),"")</f>
        <v>0</v>
      </c>
      <c r="I820" s="186" t="e">
        <f>DATE(H820,G820,F820)</f>
        <v>#NUM!</v>
      </c>
      <c r="J820" s="472">
        <f ca="1">J810</f>
        <v>45475</v>
      </c>
      <c r="K820" s="506" t="str">
        <f t="shared" si="274"/>
        <v>+Inflat.-P</v>
      </c>
      <c r="L820" s="1262" t="str">
        <f>IFERROR(VLOOKUP(B820,'Aktuelle Einnahmen'!A22:I124,9,0),"")</f>
        <v>Auswahl treffen</v>
      </c>
      <c r="M820" s="1263"/>
      <c r="N820" s="261"/>
      <c r="O820" s="261"/>
      <c r="P820" s="261"/>
      <c r="Q820" s="261"/>
      <c r="R820" s="189"/>
      <c r="S820" s="190"/>
      <c r="T820" s="190"/>
      <c r="U820" s="191"/>
      <c r="V820" s="192"/>
      <c r="W820" s="190"/>
      <c r="X820" s="190"/>
      <c r="Y820" s="191"/>
      <c r="Z820" s="192"/>
      <c r="AA820" s="190"/>
      <c r="AB820" s="190"/>
      <c r="AC820" s="191"/>
      <c r="AD820" s="192"/>
      <c r="AE820" s="190"/>
      <c r="AF820" s="190"/>
      <c r="AG820" s="191"/>
      <c r="AH820" s="193"/>
      <c r="AI820" s="190"/>
      <c r="AJ820" s="190"/>
      <c r="AK820" s="374"/>
      <c r="AL820" s="348"/>
      <c r="AM820" s="354"/>
      <c r="AN820" s="354"/>
      <c r="AO820" s="354"/>
      <c r="AP820" s="354"/>
      <c r="AQ820" s="350"/>
      <c r="AR820" s="769"/>
      <c r="AS820" s="769"/>
      <c r="AT820" s="769"/>
      <c r="BM820" s="335"/>
    </row>
    <row r="821" spans="1:65" ht="22.25" customHeight="1">
      <c r="A821" s="181">
        <f t="shared" si="270"/>
        <v>45292</v>
      </c>
      <c r="B821" s="484" t="e">
        <f>DAY(I820)</f>
        <v>#NUM!</v>
      </c>
      <c r="C821" s="489" t="s">
        <v>158</v>
      </c>
      <c r="D821" s="520" t="e">
        <f>(I821*4)+J821/3+1</f>
        <v>#NUM!</v>
      </c>
      <c r="E821" s="194" t="e">
        <f>J823+1</f>
        <v>#NUM!</v>
      </c>
      <c r="F821" s="195" t="e">
        <f t="shared" ref="F821:F828" si="284">DAY(E821)</f>
        <v>#NUM!</v>
      </c>
      <c r="G821" s="196" t="e">
        <f t="shared" ref="G821:G828" si="285">MONTH(E821)</f>
        <v>#NUM!</v>
      </c>
      <c r="H821" s="195" t="e">
        <f t="shared" ref="H821:H828" si="286">YEAR(E821)</f>
        <v>#NUM!</v>
      </c>
      <c r="I821" s="197" t="e">
        <f>H821-(H820+2000)</f>
        <v>#NUM!</v>
      </c>
      <c r="J821" s="198" t="e">
        <f>G821-G820</f>
        <v>#NUM!</v>
      </c>
      <c r="K821" s="506" t="str">
        <f>L819</f>
        <v/>
      </c>
      <c r="L821" s="469"/>
      <c r="M821" s="473" t="e">
        <f ca="1">SUM(J820-E822)&amp;" Tage"</f>
        <v>#NUM!</v>
      </c>
      <c r="N821" s="206"/>
      <c r="O821" s="201"/>
      <c r="P821" s="201"/>
      <c r="Q821" s="202"/>
      <c r="R821" s="189"/>
      <c r="S821" s="203"/>
      <c r="T821" s="203"/>
      <c r="U821" s="204"/>
      <c r="V821" s="192"/>
      <c r="W821" s="203"/>
      <c r="X821" s="203"/>
      <c r="Y821" s="204"/>
      <c r="Z821" s="192"/>
      <c r="AA821" s="203"/>
      <c r="AB821" s="203"/>
      <c r="AC821" s="204"/>
      <c r="AD821" s="192"/>
      <c r="AE821" s="203"/>
      <c r="AF821" s="203"/>
      <c r="AG821" s="204"/>
      <c r="AH821" s="193"/>
      <c r="AI821" s="203"/>
      <c r="AJ821" s="203"/>
      <c r="AK821" s="375"/>
      <c r="AL821" s="348"/>
      <c r="AM821" s="354"/>
      <c r="AN821" s="354"/>
      <c r="AO821" s="354"/>
      <c r="AP821" s="354"/>
      <c r="AQ821" s="350"/>
      <c r="AR821" s="769"/>
      <c r="AS821" s="769"/>
      <c r="AT821" s="769"/>
      <c r="BM821" s="335"/>
    </row>
    <row r="822" spans="1:65" ht="22.25" customHeight="1">
      <c r="A822" s="181">
        <f t="shared" si="270"/>
        <v>45292</v>
      </c>
      <c r="B822" s="485"/>
      <c r="C822" s="490"/>
      <c r="D822" s="521"/>
      <c r="E822" s="194" t="e">
        <f>DATE(YEAR(E821),MONTH(E821)+3,DAY(E821)-1)</f>
        <v>#NUM!</v>
      </c>
      <c r="F822" s="195" t="e">
        <f t="shared" si="284"/>
        <v>#NUM!</v>
      </c>
      <c r="G822" s="196" t="e">
        <f t="shared" si="285"/>
        <v>#NUM!</v>
      </c>
      <c r="H822" s="195" t="e">
        <f t="shared" si="286"/>
        <v>#NUM!</v>
      </c>
      <c r="I822" s="244">
        <v>-1</v>
      </c>
      <c r="J822" s="198" t="e">
        <f>F821-F820</f>
        <v>#NUM!</v>
      </c>
      <c r="K822" s="506" t="str">
        <f t="shared" si="274"/>
        <v>+Inflat.-P</v>
      </c>
      <c r="L822" s="511" t="e">
        <f>IF(M819="Stufe A",IF(AND(L820="Auswahl treffen",D821&gt;=0,D821&lt;=1000),J819,IF(AND(L820="Vermögend und ambulant",D821&gt;8,D821&lt;=1000),130,IF(AND(L820="Vermögend und ambulant",D821&gt;4,D821&lt;=8),158,IF(AND(L820="Vermögend und ambulant",D821&gt;2,D821&lt;=4),192,IF(AND(L820="Vermögend und ambulant",D821&gt;1,D821&lt;=2),208,IF(AND(L820="Vermögend und ambulant",D821&gt;0,D821&lt;=1),298,IF(AND(L820="Vermögend und stationär",D821&gt;8,D821&lt;=1000),78,IF(AND(L820="Vermögend und stationär",D821&gt;4,D821&lt;=8),91,IF(AND(L820="Vermögend und stationär",D821&gt;2,D821&lt;=4),140,IF(AND(L820="Vermögend und stationär",D821&gt;1,D821&lt;=2),158,IF(AND(L820="Vermögend und stationär",D821&gt;0,D821&lt;=1),200,IF(AND(L820="Mittellos und ambulant",D821&gt;8,D821&lt;=1000),105,IF(AND(L820="Mittellos und ambulant",D821&gt;4,D821&lt;=8),122,IF(AND(L820="Mittellos und ambulant",D821&gt;2,D821&lt;=4),151,IF(AND(L820="Mittellos und ambulant",D821&gt;1,D821&lt;=2),170,IF(AND(L820="Mittellos und ambulant",D821&gt;0,D821&lt;=1),208,IF(AND(L820="Mittellos und stationär",D821&gt;8,D821&lt;=1000),62,IF(AND(L820="Mittellos und stationär",D821&gt;4,D821&lt;=8),87,IF(AND(L820="Mittellos und stationär",D821&gt;2,D821&lt;=4),124,IF(AND(L820="Mittellos und stationär",D821&gt;1,D821&lt;=2),129,IF(AND(L820="Mittellos und stationär",D821&gt;0,D821&lt;=1),194,""))))))))))))))))))))),IF(M819="Stufe B",IF(AND(L820="Auswahl treffen",D821&gt;=0,D821&lt;=1000),J819,IF(AND(L820="Vermögend und ambulant",D821&gt;8,D821&lt;=1000),161,IF(AND(L820="Vermögend und ambulant",D821&gt;4,D821&lt;=8),196,IF(AND(L820="Vermögend und ambulant",D821&gt;2,D821&lt;=4),238,IF(AND(L820="Vermögend und ambulant",D821&gt;1,D821&lt;=2),258,IF(AND(L820="Vermögend und ambulant",D821&gt;0,D821&lt;=1),370,IF(AND(L820="Vermögend und stationär",D821&gt;8,D821&lt;=1000),96,IF(AND(L820="Vermögend und stationär",D821&gt;4,D821&lt;=8),113,IF(AND(L820="Vermögend und stationär",D821&gt;2,D821&lt;=4),174,IF(AND(L820="Vermögend und stationär",D821&gt;1,D821&lt;=2),196,IF(AND(L820="Vermögend und stationär",D821&gt;0,D821&lt;=1),249,IF(AND(L820="Mittellos und ambulant",D821&gt;8,D821&lt;=1000),130,IF(AND(L820="Mittellos und ambulant",D821&gt;4,D821&lt;=8),151,IF(AND(L820="Mittellos und ambulant",D821&gt;2,D821&lt;=4),188,IF(AND(L820="Mittellos und ambulant",D821&gt;1,D821&lt;=2),211,IF(AND(L820="Mittellos und ambulant",D821&gt;0,D821&lt;=1),258,IF(AND(L820="Mittellos und stationär",D821&gt;8,D821&lt;=1000),78,IF(AND(L820="Mittellos und stationär",D821&gt;4,D821&lt;=8),107,IF(AND(L820="Mittellos und stationär",D821&gt;2,D821&lt;=4),154,IF(AND(L820="Mittellos und stationär",D821&gt;1,D821&lt;=2),158,IF(AND(L820="Mittellos und stationär",D821&gt;0,D821&lt;=1),241,""))))))))))))))))))))),IF(M819="Stufe C",IF(AND(L820="Auswahl treffen",D821&gt;=0,D821&lt;=1000),J819,IF(AND(L820="Vermögend und ambulant",D821&gt;8,D821&lt;=1000),211,IF(AND(L820="Vermögend und ambulant",D821&gt;4,D821&lt;=8),257,IF(AND(L820="Vermögend und ambulant",D821&gt;2,D821&lt;=4),312,IF(AND(L820="Vermögend und ambulant",D821&gt;1,D821&lt;=2),339,IF(AND(L820="Vermögend und ambulant",D821&gt;0,D821&lt;=1),486,IF(AND(L820="Vermögend und stationär",D821&gt;8,D821&lt;=1000),127,IF(AND(L820="Vermögend und stationär",D821&gt;4,D821&lt;=8),149,IF(AND(L820="Vermögend und stationär",D821&gt;2,D821&lt;=4),229,IF(AND(L820="Vermögend und stationär",D821&gt;1,D821&lt;=2),257,IF(AND(L820="Vermögend und stationär",D821&gt;0,D821&lt;=1),327,IF(AND(L820="Mittellos und ambulant",D821&gt;8,D821&lt;=1000),171,IF(AND(L820="Mittellos und ambulant",D821&gt;4,D821&lt;=8),198,IF(AND(L820="Mittellos und ambulant",D821&gt;2,D821&lt;=4),246,IF(AND(L820="Mittellos und ambulant",D821&gt;1,D821&lt;=2),277,IF(AND(L820="Mittellos und ambulant",D821&gt;0,D821&lt;=1),339,IF(AND(L820="Mittellos und stationär",D821&gt;8,D821&lt;=1000),102,IF(AND(L820="Mittellos und stationär",D821&gt;4,D821&lt;=8),141,IF(AND(L820="Mittellos und stationär",D821&gt;2,D821&lt;=4),202,IF(AND(L820="Mittellos und stationär",D821&gt;1,D821&lt;=2),208,IF(AND(L820="Mittellos und stationär",D821&gt;0,D821&lt;=1),317,""))))))))))))))))))))),"")))*3+(J819*90)</f>
        <v>#NUM!</v>
      </c>
      <c r="M822" s="507" t="str">
        <f>CONCATENATE(K822, K821)</f>
        <v>+Inflat.-P</v>
      </c>
      <c r="N822" s="206" t="s">
        <v>118</v>
      </c>
      <c r="O822" s="207"/>
      <c r="P822" s="207"/>
      <c r="Q822" s="208"/>
      <c r="R822" s="187"/>
      <c r="S822" s="209" t="s">
        <v>118</v>
      </c>
      <c r="T822" s="201" t="s">
        <v>117</v>
      </c>
      <c r="U822" s="210" t="s">
        <v>26</v>
      </c>
      <c r="V822" s="192"/>
      <c r="W822" s="203"/>
      <c r="X822" s="203"/>
      <c r="Y822" s="210"/>
      <c r="Z822" s="192"/>
      <c r="AA822" s="203"/>
      <c r="AB822" s="203"/>
      <c r="AC822" s="210"/>
      <c r="AD822" s="192"/>
      <c r="AE822" s="203"/>
      <c r="AF822" s="203"/>
      <c r="AG822" s="210"/>
      <c r="AH822" s="193"/>
      <c r="AI822" s="203"/>
      <c r="AJ822" s="203"/>
      <c r="AK822" s="376"/>
      <c r="AL822" s="348" t="s">
        <v>148</v>
      </c>
      <c r="AM822" s="354">
        <f>IF(SUM(N820:N828)=SUM(S820:S828), 0, SUM(N820:N828)-SUM(S820:S828))</f>
        <v>0</v>
      </c>
      <c r="AN822" s="354"/>
      <c r="AO822" s="354"/>
      <c r="AP822" s="354"/>
      <c r="AQ822" s="350">
        <f>AM822+AN822+AO822+AP822</f>
        <v>0</v>
      </c>
      <c r="AR822" s="769"/>
      <c r="AS822" s="769"/>
      <c r="AT822" s="769"/>
      <c r="BM822" s="335"/>
    </row>
    <row r="823" spans="1:65" ht="22.25" customHeight="1">
      <c r="A823" s="181">
        <f t="shared" si="270"/>
        <v>45292</v>
      </c>
      <c r="B823" s="484" t="e">
        <f>MONTH(I820)</f>
        <v>#NUM!</v>
      </c>
      <c r="C823" s="489" t="s">
        <v>158</v>
      </c>
      <c r="D823" s="522" t="e">
        <f>D821+1</f>
        <v>#NUM!</v>
      </c>
      <c r="E823" s="211" t="e">
        <f>DATE(YEAR(E822),MONTH(E822),DAY(E822)+1)</f>
        <v>#NUM!</v>
      </c>
      <c r="F823" s="212" t="e">
        <f t="shared" si="284"/>
        <v>#NUM!</v>
      </c>
      <c r="G823" s="213" t="e">
        <f t="shared" si="285"/>
        <v>#NUM!</v>
      </c>
      <c r="H823" s="212" t="e">
        <f t="shared" si="286"/>
        <v>#NUM!</v>
      </c>
      <c r="I823" s="214" t="str">
        <f>IF(D820&lt;&gt;0,"-1T","")</f>
        <v/>
      </c>
      <c r="J823" s="215" t="e">
        <f>DATE($B825,I824,$B821)</f>
        <v>#NUM!</v>
      </c>
      <c r="K823" s="501" t="str">
        <f t="shared" si="274"/>
        <v/>
      </c>
      <c r="L823" s="470"/>
      <c r="M823" s="473" t="e">
        <f ca="1">SUM(J820-E824)&amp;" Tage"</f>
        <v>#NUM!</v>
      </c>
      <c r="N823" s="216"/>
      <c r="O823" s="217"/>
      <c r="P823" s="188"/>
      <c r="Q823" s="217"/>
      <c r="R823" s="189"/>
      <c r="S823" s="190"/>
      <c r="T823" s="190"/>
      <c r="U823" s="191"/>
      <c r="V823" s="192"/>
      <c r="W823" s="190"/>
      <c r="X823" s="190"/>
      <c r="Y823" s="191"/>
      <c r="Z823" s="192"/>
      <c r="AA823" s="190"/>
      <c r="AB823" s="190"/>
      <c r="AC823" s="191"/>
      <c r="AD823" s="192"/>
      <c r="AE823" s="190"/>
      <c r="AF823" s="190"/>
      <c r="AG823" s="191"/>
      <c r="AH823" s="193"/>
      <c r="AI823" s="190"/>
      <c r="AJ823" s="190"/>
      <c r="AK823" s="374"/>
      <c r="AL823" s="348"/>
      <c r="AM823" s="354"/>
      <c r="AN823" s="354"/>
      <c r="AO823" s="354"/>
      <c r="AP823" s="354"/>
      <c r="AQ823" s="350"/>
      <c r="AR823" s="769"/>
      <c r="AS823" s="769"/>
      <c r="AT823" s="769"/>
      <c r="BM823" s="335"/>
    </row>
    <row r="824" spans="1:65" ht="22.25" customHeight="1">
      <c r="A824" s="181">
        <f t="shared" si="270"/>
        <v>45292</v>
      </c>
      <c r="B824" s="485"/>
      <c r="C824" s="490"/>
      <c r="D824" s="521"/>
      <c r="E824" s="218" t="e">
        <f>DATE(YEAR(E823),MONTH(E823)+3,DAY(E823)-1)</f>
        <v>#NUM!</v>
      </c>
      <c r="F824" s="212" t="e">
        <f t="shared" si="284"/>
        <v>#NUM!</v>
      </c>
      <c r="G824" s="213" t="e">
        <f t="shared" si="285"/>
        <v>#NUM!</v>
      </c>
      <c r="H824" s="212" t="e">
        <f t="shared" si="286"/>
        <v>#NUM!</v>
      </c>
      <c r="I824" s="219">
        <f>MAX(I825:I828)</f>
        <v>9</v>
      </c>
      <c r="J824" s="220" t="e">
        <f>DATE(YEAR(J823)+1,MONTH(J823),DAY(J823))</f>
        <v>#NUM!</v>
      </c>
      <c r="K824" s="501" t="str">
        <f t="shared" si="274"/>
        <v>+Inflat.-P</v>
      </c>
      <c r="L824" s="508" t="e">
        <f>IF(M819="Stufe A",IF(AND(L820="Auswahl treffen",D823&gt;=0,D823&lt;=1000),J819,IF(AND(L820="Vermögend und ambulant",D823&gt;8,D823&lt;=1000),130,IF(AND(L820="Vermögend und ambulant",D823&gt;4,D823&lt;=8),158,IF(AND(L820="Vermögend und ambulant",D823&gt;2,D823&lt;=4),192,IF(AND(L820="Vermögend und ambulant",D823&gt;1,D823&lt;=2),208,IF(AND(L820="Vermögend und ambulant",D823&gt;0,D823&lt;=1),298,IF(AND(L820="Vermögend und stationär",D823&gt;8,D823&lt;=1000),78,IF(AND(L820="Vermögend und stationär",D823&gt;4,D823&lt;=8),91,IF(AND(L820="Vermögend und stationär",D823&gt;2,D823&lt;=4),140,IF(AND(L820="Vermögend und stationär",D823&gt;1,D823&lt;=2),158,IF(AND(L820="Vermögend und stationär",D823&gt;0,D823&lt;=1),200,IF(AND(L820="Mittellos und ambulant",D823&gt;8,D823&lt;=1000),105,IF(AND(L820="Mittellos und ambulant",D823&gt;4,D823&lt;=8),122,IF(AND(L820="Mittellos und ambulant",D823&gt;2,D823&lt;=4),151,IF(AND(L820="Mittellos und ambulant",D823&gt;1,D823&lt;=2),170,IF(AND(L820="Mittellos und ambulant",D823&gt;0,D823&lt;=1),208,IF(AND(L820="Mittellos und stationär",D823&gt;8,D823&lt;=1000),62,IF(AND(L820="Mittellos und stationär",D823&gt;4,D823&lt;=8),87,IF(AND(L820="Mittellos und stationär",D823&gt;2,D823&lt;=4),124,IF(AND(L820="Mittellos und stationär",D823&gt;1,D823&lt;=2),129,IF(AND(L820="Mittellos und stationär",D823&gt;0,D823&lt;=1),194,""))))))))))))))))))))),IF(M819="Stufe B",IF(AND(L820="Auswahl treffen",D823&gt;=0,D823&lt;=1000),J819,IF(AND(L820="Vermögend und ambulant",D823&gt;8,D823&lt;=1000),161,IF(AND(L820="Vermögend und ambulant",D823&gt;4,D823&lt;=8),196,IF(AND(L820="Vermögend und ambulant",D823&gt;2,D823&lt;=4),238,IF(AND(L820="Vermögend und ambulant",D823&gt;1,D823&lt;=2),258,IF(AND(L820="Vermögend und ambulant",D823&gt;0,D823&lt;=1),370,IF(AND(L820="Vermögend und stationär",D823&gt;8,D823&lt;=1000),96,IF(AND(L820="Vermögend und stationär",D823&gt;4,D823&lt;=8),113,IF(AND(L820="Vermögend und stationär",D823&gt;2,D823&lt;=4),174,IF(AND(L820="Vermögend und stationär",D823&gt;1,D823&lt;=2),196,IF(AND(L820="Vermögend und stationär",D823&gt;0,D823&lt;=1),249,IF(AND(L820="Mittellos und ambulant",D823&gt;8,D823&lt;=1000),130,IF(AND(L820="Mittellos und ambulant",D823&gt;4,D823&lt;=8),151,IF(AND(L820="Mittellos und ambulant",D823&gt;2,D823&lt;=4),188,IF(AND(L820="Mittellos und ambulant",D823&gt;1,D823&lt;=2),211,IF(AND(L820="Mittellos und ambulant",D823&gt;0,D823&lt;=1),258,IF(AND(L820="Mittellos und stationär",D823&gt;8,D823&lt;=1000),78,IF(AND(L820="Mittellos und stationär",D823&gt;4,D823&lt;=8),107,IF(AND(L820="Mittellos und stationär",D823&gt;2,D823&lt;=4),154,IF(AND(L820="Mittellos und stationär",D823&gt;1,D823&lt;=2),158,IF(AND(L820="Mittellos und stationär",D823&gt;0,D823&lt;=1),241,""))))))))))))))))))))),IF(M819="Stufe C",IF(AND(L820="Auswahl treffen",D823&gt;=0,D823&lt;=1000),J819,IF(AND(L820="Vermögend und ambulant",D823&gt;8,D823&lt;=1000),211,IF(AND(L820="Vermögend und ambulant",D823&gt;4,D823&lt;=8),257,IF(AND(L820="Vermögend und ambulant",D823&gt;2,D823&lt;=4),312,IF(AND(L820="Vermögend und ambulant",D823&gt;1,D823&lt;=2),339,IF(AND(L820="Vermögend und ambulant",D823&gt;0,D823&lt;=1),486,IF(AND(L820="Vermögend und stationär",D823&gt;8,D823&lt;=1000),127,IF(AND(L820="Vermögend und stationär",D823&gt;4,D823&lt;=8),149,IF(AND(L820="Vermögend und stationär",D823&gt;2,D823&lt;=4),229,IF(AND(L820="Vermögend und stationär",D823&gt;1,D823&lt;=2),257,IF(AND(L820="Vermögend und stationär",D823&gt;0,D823&lt;=1),327,IF(AND(L820="Mittellos und ambulant",D823&gt;8,D823&lt;=1000),171,IF(AND(L820="Mittellos und ambulant",D823&gt;4,D823&lt;=8),198,IF(AND(L820="Mittellos und ambulant",D823&gt;2,D823&lt;=4),246,IF(AND(L820="Mittellos und ambulant",D823&gt;1,D823&lt;=2),277,IF(AND(L820="Mittellos und ambulant",D823&gt;0,D823&lt;=1),339,IF(AND(L820="Mittellos und stationär",D823&gt;8,D823&lt;=1000),102,IF(AND(L820="Mittellos und stationär",D823&gt;4,D823&lt;=8),141,IF(AND(L820="Mittellos und stationär",D823&gt;2,D823&lt;=4),202,IF(AND(L820="Mittellos und stationär",D823&gt;1,D823&lt;=2),208,IF(AND(L820="Mittellos und stationär",D823&gt;0,D823&lt;=1),317,""))))))))))))))))))))),"")))*3+(J819*90)</f>
        <v>#NUM!</v>
      </c>
      <c r="M824" s="507" t="str">
        <f>CONCATENATE(K824, K823)</f>
        <v>+Inflat.-P</v>
      </c>
      <c r="N824" s="216"/>
      <c r="O824" s="188" t="s">
        <v>118</v>
      </c>
      <c r="P824" s="188"/>
      <c r="Q824" s="221"/>
      <c r="R824" s="199"/>
      <c r="S824" s="190"/>
      <c r="T824" s="190"/>
      <c r="U824" s="191"/>
      <c r="V824" s="192"/>
      <c r="W824" s="222" t="s">
        <v>118</v>
      </c>
      <c r="X824" s="222" t="s">
        <v>117</v>
      </c>
      <c r="Y824" s="191" t="s">
        <v>26</v>
      </c>
      <c r="Z824" s="192"/>
      <c r="AA824" s="190"/>
      <c r="AB824" s="190"/>
      <c r="AC824" s="191"/>
      <c r="AD824" s="192"/>
      <c r="AE824" s="190"/>
      <c r="AF824" s="190"/>
      <c r="AG824" s="191"/>
      <c r="AH824" s="193"/>
      <c r="AI824" s="190"/>
      <c r="AJ824" s="190"/>
      <c r="AK824" s="374"/>
      <c r="AL824" s="348" t="s">
        <v>149</v>
      </c>
      <c r="AM824" s="354"/>
      <c r="AN824" s="354">
        <f>IF(SUM(O820:O828)=SUM(W820:W828), 0, SUM(O820:O828)-SUM(W820:W828))</f>
        <v>0</v>
      </c>
      <c r="AO824" s="354"/>
      <c r="AP824" s="354"/>
      <c r="AQ824" s="350">
        <f>AM824+AN824+AO824+AP824</f>
        <v>0</v>
      </c>
      <c r="AR824" s="769"/>
      <c r="AS824" s="769"/>
      <c r="AT824" s="769"/>
      <c r="BM824" s="335"/>
    </row>
    <row r="825" spans="1:65" ht="22.25" customHeight="1">
      <c r="A825" s="181">
        <f t="shared" si="270"/>
        <v>45292</v>
      </c>
      <c r="B825" s="484">
        <f>YEAR($A826)-1</f>
        <v>2023</v>
      </c>
      <c r="C825" s="489" t="s">
        <v>158</v>
      </c>
      <c r="D825" s="520" t="e">
        <f>D823+1</f>
        <v>#NUM!</v>
      </c>
      <c r="E825" s="194" t="e">
        <f>DATE(YEAR(E824),MONTH(E824),DAY(E824)+1)</f>
        <v>#NUM!</v>
      </c>
      <c r="F825" s="195" t="e">
        <f t="shared" si="284"/>
        <v>#NUM!</v>
      </c>
      <c r="G825" s="196" t="e">
        <f t="shared" si="285"/>
        <v>#NUM!</v>
      </c>
      <c r="H825" s="195" t="e">
        <f t="shared" si="286"/>
        <v>#NUM!</v>
      </c>
      <c r="I825" s="197">
        <f>IF(J827&lt;13,J827,"")</f>
        <v>9</v>
      </c>
      <c r="J825" s="224">
        <f>G820</f>
        <v>0</v>
      </c>
      <c r="K825" s="506" t="str">
        <f t="shared" si="274"/>
        <v/>
      </c>
      <c r="L825" s="471"/>
      <c r="M825" s="473" t="e">
        <f ca="1">SUM(J820-E826)&amp;" Tage"</f>
        <v>#NUM!</v>
      </c>
      <c r="N825" s="200"/>
      <c r="O825" s="201"/>
      <c r="P825" s="201"/>
      <c r="Q825" s="202"/>
      <c r="R825" s="189"/>
      <c r="S825" s="203"/>
      <c r="T825" s="203"/>
      <c r="U825" s="204"/>
      <c r="V825" s="192"/>
      <c r="W825" s="203"/>
      <c r="X825" s="203"/>
      <c r="Y825" s="204"/>
      <c r="Z825" s="192"/>
      <c r="AA825" s="203"/>
      <c r="AB825" s="203"/>
      <c r="AC825" s="204"/>
      <c r="AD825" s="192"/>
      <c r="AE825" s="203"/>
      <c r="AF825" s="203"/>
      <c r="AG825" s="204"/>
      <c r="AH825" s="193"/>
      <c r="AI825" s="203"/>
      <c r="AJ825" s="203"/>
      <c r="AK825" s="375"/>
      <c r="AL825" s="348"/>
      <c r="AM825" s="354"/>
      <c r="AN825" s="354"/>
      <c r="AO825" s="354"/>
      <c r="AP825" s="354"/>
      <c r="AQ825" s="350"/>
      <c r="AR825" s="769"/>
      <c r="AS825" s="769"/>
      <c r="AT825" s="769"/>
      <c r="BM825" s="335"/>
    </row>
    <row r="826" spans="1:65" ht="22.25" customHeight="1">
      <c r="A826" s="181">
        <f t="shared" si="270"/>
        <v>45292</v>
      </c>
      <c r="B826" s="485"/>
      <c r="C826" s="490"/>
      <c r="D826" s="521"/>
      <c r="E826" s="194" t="e">
        <f>DATE(YEAR(E825),MONTH(E825)+3,DAY(E825)-1)</f>
        <v>#NUM!</v>
      </c>
      <c r="F826" s="195" t="e">
        <f t="shared" si="284"/>
        <v>#NUM!</v>
      </c>
      <c r="G826" s="196" t="e">
        <f t="shared" si="285"/>
        <v>#NUM!</v>
      </c>
      <c r="H826" s="195" t="e">
        <f t="shared" si="286"/>
        <v>#NUM!</v>
      </c>
      <c r="I826" s="244">
        <f>IF(J828&lt;13,J828,"")</f>
        <v>6</v>
      </c>
      <c r="J826" s="224">
        <f>J825+3</f>
        <v>3</v>
      </c>
      <c r="K826" s="501" t="str">
        <f t="shared" si="274"/>
        <v>+Inflat.-P</v>
      </c>
      <c r="L826" s="511" t="e">
        <f>IF(M819="Stufe A",IF(AND(L820="Auswahl treffen",D825&gt;=0,D825&lt;=1000),J819,IF(AND(L820="Vermögend und ambulant",D825&gt;8,D825&lt;=1000),130,IF(AND(L820="Vermögend und ambulant",D825&gt;4,D825&lt;=8),158,IF(AND(L820="Vermögend und ambulant",D825&gt;2,D825&lt;=4),192,IF(AND(L820="Vermögend und ambulant",D825&gt;1,D825&lt;=2),208,IF(AND(L820="Vermögend und ambulant",D825&gt;0,D825&lt;=1),298,IF(AND(L820="Vermögend und stationär",D825&gt;8,D825&lt;=1000),78,IF(AND(L820="Vermögend und stationär",D825&gt;4,D825&lt;=8),91,IF(AND(L820="Vermögend und stationär",D825&gt;2,D825&lt;=4),140,IF(AND(L820="Vermögend und stationär",D825&gt;1,D825&lt;=2),158,IF(AND(L820="Vermögend und stationär",D825&gt;0,D825&lt;=1),200,IF(AND(L820="Mittellos und ambulant",D825&gt;8,D825&lt;=1000),105,IF(AND(L820="Mittellos und ambulant",D825&gt;4,D825&lt;=8),122,IF(AND(L820="Mittellos und ambulant",D825&gt;2,D825&lt;=4),151,IF(AND(L820="Mittellos und ambulant",D825&gt;1,D825&lt;=2),170,IF(AND(L820="Mittellos und ambulant",D825&gt;0,D825&lt;=1),208,IF(AND(L820="Mittellos und stationär",D825&gt;8,D825&lt;=1000),62,IF(AND(L820="Mittellos und stationär",D825&gt;4,D825&lt;=8),87,IF(AND(L820="Mittellos und stationär",D825&gt;2,D825&lt;=4),124,IF(AND(L820="Mittellos und stationär",D825&gt;1,D825&lt;=2),129,IF(AND(L820="Mittellos und stationär",D825&gt;0,D825&lt;=1),194,""))))))))))))))))))))),IF(M819="Stufe B",IF(AND(L820="Auswahl treffen",D825&gt;=0,D825&lt;=1000),J819,IF(AND(L820="Vermögend und ambulant",D825&gt;8,D825&lt;=1000),161,IF(AND(L820="Vermögend und ambulant",D825&gt;4,D825&lt;=8),196,IF(AND(L820="Vermögend und ambulant",D825&gt;2,D825&lt;=4),238,IF(AND(L820="Vermögend und ambulant",D825&gt;1,D825&lt;=2),258,IF(AND(L820="Vermögend und ambulant",D825&gt;0,D825&lt;=1),370,IF(AND(L820="Vermögend und stationär",D825&gt;8,D825&lt;=1000),96,IF(AND(L820="Vermögend und stationär",D825&gt;4,D825&lt;=8),113,IF(AND(L820="Vermögend und stationär",D825&gt;2,D825&lt;=4),174,IF(AND(L820="Vermögend und stationär",D825&gt;1,D825&lt;=2),196,IF(AND(L820="Vermögend und stationär",D825&gt;0,D825&lt;=1),249,IF(AND(L820="Mittellos und ambulant",D825&gt;8,D825&lt;=1000),130,IF(AND(L820="Mittellos und ambulant",D825&gt;4,D825&lt;=8),151,IF(AND(L820="Mittellos und ambulant",D825&gt;2,D825&lt;=4),188,IF(AND(L820="Mittellos und ambulant",D825&gt;1,D825&lt;=2),211,IF(AND(L820="Mittellos und ambulant",D825&gt;0,D825&lt;=1),258,IF(AND(L820="Mittellos und stationär",D825&gt;8,D825&lt;=1000),78,IF(AND(L820="Mittellos und stationär",D825&gt;4,D825&lt;=8),107,IF(AND(L820="Mittellos und stationär",D825&gt;2,D825&lt;=4),154,IF(AND(L820="Mittellos und stationär",D825&gt;1,D825&lt;=2),158,IF(AND(L820="Mittellos und stationär",D825&gt;0,D825&lt;=1),241,""))))))))))))))))))))),IF(M819="Stufe C",IF(AND(L820="Auswahl treffen",D825&gt;=0,D825&lt;=1000),J819,IF(AND(L820="Vermögend und ambulant",D825&gt;8,D825&lt;=1000),211,IF(AND(L820="Vermögend und ambulant",D825&gt;4,D825&lt;=8),257,IF(AND(L820="Vermögend und ambulant",D825&gt;2,D825&lt;=4),312,IF(AND(L820="Vermögend und ambulant",D825&gt;1,D825&lt;=2),339,IF(AND(L820="Vermögend und ambulant",D825&gt;0,D825&lt;=1),486,IF(AND(L820="Vermögend und stationär",D825&gt;8,D825&lt;=1000),127,IF(AND(L820="Vermögend und stationär",D825&gt;4,D825&lt;=8),149,IF(AND(L820="Vermögend und stationär",D825&gt;2,D825&lt;=4),229,IF(AND(L820="Vermögend und stationär",D825&gt;1,D825&lt;=2),257,IF(AND(L820="Vermögend und stationär",D825&gt;0,D825&lt;=1),327,IF(AND(L820="Mittellos und ambulant",D825&gt;8,D825&lt;=1000),171,IF(AND(L820="Mittellos und ambulant",D825&gt;4,D825&lt;=8),198,IF(AND(L820="Mittellos und ambulant",D825&gt;2,D825&lt;=4),246,IF(AND(L820="Mittellos und ambulant",D825&gt;1,D825&lt;=2),277,IF(AND(L820="Mittellos und ambulant",D825&gt;0,D825&lt;=1),339,IF(AND(L820="Mittellos und stationär",D825&gt;8,D825&lt;=1000),102,IF(AND(L820="Mittellos und stationär",D825&gt;4,D825&lt;=8),141,IF(AND(L820="Mittellos und stationär",D825&gt;2,D825&lt;=4),202,IF(AND(L820="Mittellos und stationär",D825&gt;1,D825&lt;=2),208,IF(AND(L820="Mittellos und stationär",D825&gt;0,D825&lt;=1),317,""))))))))))))))))))))),"")))*3+(J819*90)</f>
        <v>#NUM!</v>
      </c>
      <c r="M826" s="507" t="str">
        <f>CONCATENATE(K826, K825)</f>
        <v>+Inflat.-P</v>
      </c>
      <c r="N826" s="206"/>
      <c r="O826" s="207"/>
      <c r="P826" s="206" t="s">
        <v>118</v>
      </c>
      <c r="Q826" s="226"/>
      <c r="R826" s="189"/>
      <c r="S826" s="203"/>
      <c r="T826" s="203"/>
      <c r="U826" s="204"/>
      <c r="V826" s="192"/>
      <c r="W826" s="203"/>
      <c r="X826" s="203"/>
      <c r="Y826" s="204"/>
      <c r="Z826" s="192"/>
      <c r="AA826" s="209" t="s">
        <v>118</v>
      </c>
      <c r="AB826" s="209" t="s">
        <v>117</v>
      </c>
      <c r="AC826" s="204" t="s">
        <v>26</v>
      </c>
      <c r="AD826" s="192"/>
      <c r="AE826" s="203"/>
      <c r="AF826" s="203"/>
      <c r="AG826" s="204"/>
      <c r="AH826" s="193"/>
      <c r="AI826" s="203"/>
      <c r="AJ826" s="203"/>
      <c r="AK826" s="375"/>
      <c r="AL826" s="348" t="s">
        <v>150</v>
      </c>
      <c r="AM826" s="354"/>
      <c r="AN826" s="354"/>
      <c r="AO826" s="354">
        <f>IF(SUM(P820:P828)=SUM(AA820:AA828), 0, SUM(P820:P828)-SUM(AA820:AA828))</f>
        <v>0</v>
      </c>
      <c r="AP826" s="354"/>
      <c r="AQ826" s="350">
        <f>AM826+AN826+AO826+AP826</f>
        <v>0</v>
      </c>
      <c r="AR826" s="769"/>
      <c r="AS826" s="769"/>
      <c r="AT826" s="769"/>
      <c r="BM826" s="335"/>
    </row>
    <row r="827" spans="1:65" ht="22.25" customHeight="1">
      <c r="A827" s="181">
        <f t="shared" si="270"/>
        <v>45292</v>
      </c>
      <c r="B827" s="486"/>
      <c r="C827" s="489" t="s">
        <v>158</v>
      </c>
      <c r="D827" s="522" t="e">
        <f>D825+1</f>
        <v>#NUM!</v>
      </c>
      <c r="E827" s="211" t="e">
        <f>DATE(YEAR(E826),MONTH(E826),DAY(E826)+1)</f>
        <v>#NUM!</v>
      </c>
      <c r="F827" s="227" t="e">
        <f t="shared" si="284"/>
        <v>#NUM!</v>
      </c>
      <c r="G827" s="228" t="e">
        <f t="shared" si="285"/>
        <v>#NUM!</v>
      </c>
      <c r="H827" s="227" t="e">
        <f t="shared" si="286"/>
        <v>#NUM!</v>
      </c>
      <c r="I827" s="231">
        <f>IF(J826&lt;13,J826,"")</f>
        <v>3</v>
      </c>
      <c r="J827" s="230">
        <f>J828+3</f>
        <v>9</v>
      </c>
      <c r="K827" s="506" t="str">
        <f t="shared" si="274"/>
        <v/>
      </c>
      <c r="L827" s="471"/>
      <c r="M827" s="473" t="e">
        <f ca="1">SUM(J820-E828)&amp;" Tage"</f>
        <v>#NUM!</v>
      </c>
      <c r="N827" s="216"/>
      <c r="O827" s="188"/>
      <c r="P827" s="188"/>
      <c r="Q827" s="217"/>
      <c r="R827" s="189"/>
      <c r="S827" s="190"/>
      <c r="T827" s="190"/>
      <c r="U827" s="191"/>
      <c r="V827" s="192"/>
      <c r="W827" s="190"/>
      <c r="X827" s="190"/>
      <c r="Y827" s="191"/>
      <c r="Z827" s="192"/>
      <c r="AA827" s="190"/>
      <c r="AB827" s="190"/>
      <c r="AC827" s="191"/>
      <c r="AD827" s="192"/>
      <c r="AE827" s="190"/>
      <c r="AF827" s="190"/>
      <c r="AG827" s="191"/>
      <c r="AH827" s="193"/>
      <c r="AI827" s="190"/>
      <c r="AJ827" s="190"/>
      <c r="AK827" s="374"/>
      <c r="AL827" s="348"/>
      <c r="AM827" s="354"/>
      <c r="AN827" s="354"/>
      <c r="AO827" s="354"/>
      <c r="AP827" s="354"/>
      <c r="AQ827" s="350"/>
      <c r="AR827" s="769"/>
      <c r="AS827" s="769"/>
      <c r="AT827" s="769"/>
      <c r="BM827" s="335"/>
    </row>
    <row r="828" spans="1:65" ht="22.25" customHeight="1">
      <c r="A828" s="181">
        <f t="shared" si="270"/>
        <v>45292</v>
      </c>
      <c r="B828" s="485"/>
      <c r="C828" s="490"/>
      <c r="D828" s="521"/>
      <c r="E828" s="218" t="e">
        <f>DATE(YEAR(E827),MONTH(E827)+3,DAY(E827)-1)</f>
        <v>#NUM!</v>
      </c>
      <c r="F828" s="227" t="e">
        <f t="shared" si="284"/>
        <v>#NUM!</v>
      </c>
      <c r="G828" s="228" t="e">
        <f t="shared" si="285"/>
        <v>#NUM!</v>
      </c>
      <c r="H828" s="227" t="e">
        <f t="shared" si="286"/>
        <v>#NUM!</v>
      </c>
      <c r="I828" s="231">
        <f>IF(J825&lt;13,J825,"")</f>
        <v>0</v>
      </c>
      <c r="J828" s="230">
        <f>J826+3</f>
        <v>6</v>
      </c>
      <c r="K828" s="501" t="str">
        <f t="shared" si="274"/>
        <v>+Inflat.-P</v>
      </c>
      <c r="L828" s="508" t="e">
        <f>IF(M819="Stufe A",IF(AND(L820="Auswahl treffen",D827&gt;=0,D827&lt;=1000),J819,IF(AND(L820="Vermögend und ambulant",D827&gt;8,D827&lt;=1000),130,IF(AND(L820="Vermögend und ambulant",D827&gt;4,D827&lt;=8),158,IF(AND(L820="Vermögend und ambulant",D827&gt;2,D827&lt;=4),192,IF(AND(L820="Vermögend und ambulant",D827&gt;1,D827&lt;=2),208,IF(AND(L820="Vermögend und ambulant",D827&gt;0,D827&lt;=1),298,IF(AND(L820="Vermögend und stationär",D827&gt;8,D827&lt;=1000),78,IF(AND(L820="Vermögend und stationär",D827&gt;4,D827&lt;=8),91,IF(AND(L820="Vermögend und stationär",D827&gt;2,D827&lt;=4),140,IF(AND(L820="Vermögend und stationär",D827&gt;1,D827&lt;=2),158,IF(AND(L820="Vermögend und stationär",D827&gt;0,D827&lt;=1),200,IF(AND(L820="Mittellos und ambulant",D827&gt;8,D827&lt;=1000),105,IF(AND(L820="Mittellos und ambulant",D827&gt;4,D827&lt;=8),122,IF(AND(L820="Mittellos und ambulant",D827&gt;2,D827&lt;=4),151,IF(AND(L820="Mittellos und ambulant",D827&gt;1,D827&lt;=2),170,IF(AND(L820="Mittellos und ambulant",D827&gt;0,D827&lt;=1),208,IF(AND(L820="Mittellos und stationär",D827&gt;8,D827&lt;=1000),62,IF(AND(L820="Mittellos und stationär",D827&gt;4,D827&lt;=8),87,IF(AND(L820="Mittellos und stationär",D827&gt;2,D827&lt;=4),124,IF(AND(L820="Mittellos und stationär",D827&gt;1,D827&lt;=2),129,IF(AND(L820="Mittellos und stationär",D827&gt;0,D827&lt;=1),194,""))))))))))))))))))))),IF(M819="Stufe B",IF(AND(L820="Auswahl treffen",D827&gt;=0,D827&lt;=1000),J819,IF(AND(L820="Vermögend und ambulant",D827&gt;8,D827&lt;=1000),161,IF(AND(L820="Vermögend und ambulant",D827&gt;4,D827&lt;=8),196,IF(AND(L820="Vermögend und ambulant",D827&gt;2,D827&lt;=4),238,IF(AND(L820="Vermögend und ambulant",D827&gt;1,D827&lt;=2),258,IF(AND(L820="Vermögend und ambulant",D827&gt;0,D827&lt;=1),370,IF(AND(L820="Vermögend und stationär",D827&gt;8,D827&lt;=1000),96,IF(AND(L820="Vermögend und stationär",D827&gt;4,D827&lt;=8),113,IF(AND(L820="Vermögend und stationär",D827&gt;2,D827&lt;=4),174,IF(AND(L820="Vermögend und stationär",D827&gt;1,D827&lt;=2),196,IF(AND(L820="Vermögend und stationär",D827&gt;0,D827&lt;=1),249,IF(AND(L820="Mittellos und ambulant",D827&gt;8,D827&lt;=1000),130,IF(AND(L820="Mittellos und ambulant",D827&gt;4,D827&lt;=8),151,IF(AND(L820="Mittellos und ambulant",D827&gt;2,D827&lt;=4),188,IF(AND(L820="Mittellos und ambulant",D827&gt;1,D827&lt;=2),211,IF(AND(L820="Mittellos und ambulant",D827&gt;0,D827&lt;=1),258,IF(AND(L820="Mittellos und stationär",D827&gt;8,D827&lt;=1000),78,IF(AND(L820="Mittellos und stationär",D827&gt;4,D827&lt;=8),107,IF(AND(L820="Mittellos und stationär",D827&gt;2,D827&lt;=4),154,IF(AND(L820="Mittellos und stationär",D827&gt;1,D827&lt;=2),158,IF(AND(L820="Mittellos und stationär",D827&gt;0,D827&lt;=1),241,""))))))))))))))))))))),IF(M819="Stufe C",IF(AND(L820="Auswahl treffen",D827&gt;=0,D827&lt;=1000),J819,IF(AND(L820="Vermögend und ambulant",D827&gt;8,D827&lt;=1000),211,IF(AND(L820="Vermögend und ambulant",D827&gt;4,D827&lt;=8),257,IF(AND(L820="Vermögend und ambulant",D827&gt;2,D827&lt;=4),312,IF(AND(L820="Vermögend und ambulant",D827&gt;1,D827&lt;=2),339,IF(AND(L820="Vermögend und ambulant",D827&gt;0,D827&lt;=1),486,IF(AND(L820="Vermögend und stationär",D827&gt;8,D827&lt;=1000),127,IF(AND(L820="Vermögend und stationär",D827&gt;4,D827&lt;=8),149,IF(AND(L820="Vermögend und stationär",D827&gt;2,D827&lt;=4),229,IF(AND(L820="Vermögend und stationär",D827&gt;1,D827&lt;=2),257,IF(AND(L820="Vermögend und stationär",D827&gt;0,D827&lt;=1),327,IF(AND(L820="Mittellos und ambulant",D827&gt;8,D827&lt;=1000),171,IF(AND(L820="Mittellos und ambulant",D827&gt;4,D827&lt;=8),198,IF(AND(L820="Mittellos und ambulant",D827&gt;2,D827&lt;=4),246,IF(AND(L820="Mittellos und ambulant",D827&gt;1,D827&lt;=2),277,IF(AND(L820="Mittellos und ambulant",D827&gt;0,D827&lt;=1),339,IF(AND(L820="Mittellos und stationär",D827&gt;8,D827&lt;=1000),102,IF(AND(L820="Mittellos und stationär",D827&gt;4,D827&lt;=8),141,IF(AND(L820="Mittellos und stationär",D827&gt;2,D827&lt;=4),202,IF(AND(L820="Mittellos und stationär",D827&gt;1,D827&lt;=2),208,IF(AND(L820="Mittellos und stationär",D827&gt;0,D827&lt;=1),317,""))))))))))))))))))))),"")))*3+(J819*90)</f>
        <v>#NUM!</v>
      </c>
      <c r="M828" s="507" t="str">
        <f>CONCATENATE(K828, K827)</f>
        <v>+Inflat.-P</v>
      </c>
      <c r="N828" s="216"/>
      <c r="O828" s="188"/>
      <c r="P828" s="188"/>
      <c r="Q828" s="217" t="s">
        <v>118</v>
      </c>
      <c r="R828" s="189"/>
      <c r="S828" s="190"/>
      <c r="T828" s="190"/>
      <c r="U828" s="191"/>
      <c r="V828" s="192"/>
      <c r="W828" s="190"/>
      <c r="X828" s="190"/>
      <c r="Y828" s="191"/>
      <c r="Z828" s="192"/>
      <c r="AA828" s="190"/>
      <c r="AB828" s="190"/>
      <c r="AC828" s="191"/>
      <c r="AD828" s="192"/>
      <c r="AE828" s="190" t="s">
        <v>118</v>
      </c>
      <c r="AF828" s="190" t="s">
        <v>117</v>
      </c>
      <c r="AG828" s="191" t="s">
        <v>26</v>
      </c>
      <c r="AH828" s="193"/>
      <c r="AI828" s="190" t="s">
        <v>118</v>
      </c>
      <c r="AJ828" s="190" t="s">
        <v>117</v>
      </c>
      <c r="AK828" s="374" t="s">
        <v>26</v>
      </c>
      <c r="AL828" s="348" t="s">
        <v>151</v>
      </c>
      <c r="AM828" s="354"/>
      <c r="AN828" s="354"/>
      <c r="AO828" s="354"/>
      <c r="AP828" s="354">
        <f>IF(SUM(Q820:Q828)=SUM(AE820:AE828,AI820:AI828), 0, SUM(Q820:Q828)-SUM(AE820:AE828,AI820:AI828))</f>
        <v>0</v>
      </c>
      <c r="AQ828" s="350">
        <f>AM828+AN828+AO828+AP828</f>
        <v>0</v>
      </c>
      <c r="AR828" s="769"/>
      <c r="AS828" s="769"/>
      <c r="AT828" s="769"/>
      <c r="BM828" s="335"/>
    </row>
    <row r="829" spans="1:65" ht="22" customHeight="1">
      <c r="A829" s="181">
        <f t="shared" si="270"/>
        <v>45292</v>
      </c>
      <c r="B829" s="232" t="s">
        <v>74</v>
      </c>
      <c r="C829" s="233" t="s">
        <v>75</v>
      </c>
      <c r="D829" s="234" t="s">
        <v>76</v>
      </c>
      <c r="E829" s="235" t="s">
        <v>11</v>
      </c>
      <c r="F829" s="235" t="s">
        <v>4</v>
      </c>
      <c r="G829" s="235" t="s">
        <v>5</v>
      </c>
      <c r="H829" s="235" t="s">
        <v>6</v>
      </c>
      <c r="I829" s="236" t="s">
        <v>77</v>
      </c>
      <c r="J829" s="306"/>
      <c r="K829" s="506" t="str">
        <f t="shared" si="274"/>
        <v/>
      </c>
      <c r="L829" s="306" t="str">
        <f>IFERROR(VLOOKUP(B830,'Aktuelle Einnahmen'!A2:J104,10,0),"")</f>
        <v/>
      </c>
      <c r="M829" s="510" t="str">
        <f>M819</f>
        <v>Stufe C</v>
      </c>
      <c r="N829" s="237"/>
      <c r="O829" s="238"/>
      <c r="P829" s="238"/>
      <c r="Q829" s="239"/>
      <c r="R829" s="240"/>
      <c r="S829" s="241"/>
      <c r="T829" s="241"/>
      <c r="U829" s="242"/>
      <c r="V829" s="243"/>
      <c r="W829" s="241"/>
      <c r="X829" s="241"/>
      <c r="Y829" s="242"/>
      <c r="Z829" s="243"/>
      <c r="AA829" s="241"/>
      <c r="AB829" s="241"/>
      <c r="AC829" s="242"/>
      <c r="AD829" s="243"/>
      <c r="AE829" s="241"/>
      <c r="AF829" s="241"/>
      <c r="AG829" s="242"/>
      <c r="AH829" s="240"/>
      <c r="AI829" s="241"/>
      <c r="AJ829" s="241"/>
      <c r="AK829" s="377"/>
      <c r="AL829" s="347"/>
      <c r="AM829" s="353"/>
      <c r="AN829" s="353"/>
      <c r="AO829" s="353"/>
      <c r="AP829" s="353"/>
      <c r="AQ829" s="349"/>
      <c r="AR829" s="768"/>
      <c r="AS829" s="768"/>
      <c r="AT829" s="768"/>
      <c r="BM829" s="335"/>
    </row>
    <row r="830" spans="1:65" ht="23" customHeight="1">
      <c r="A830" s="181">
        <f t="shared" si="270"/>
        <v>45292</v>
      </c>
      <c r="B830" s="182">
        <v>83</v>
      </c>
      <c r="C830" s="245">
        <f>IFERROR(VLOOKUP($B830,'Aktuelle Einnahmen'!A2:G104,3,0),"")</f>
        <v>0</v>
      </c>
      <c r="D830" s="246">
        <f>IFERROR(VLOOKUP($B830,'Aktuelle Einnahmen'!A2:G104,2,0),"")</f>
        <v>0</v>
      </c>
      <c r="E830" s="247">
        <f>IFERROR(VLOOKUP($B830,'Aktuelle Einnahmen'!A2:G104,4,0),"")</f>
        <v>0</v>
      </c>
      <c r="F830" s="94">
        <f>IFERROR(VLOOKUP($B830,'Aktuelle Einnahmen'!A2:G104,5,0),"")</f>
        <v>0</v>
      </c>
      <c r="G830" s="94">
        <f>IFERROR(VLOOKUP($B830,'Aktuelle Einnahmen'!A2:G104,6,0),"")</f>
        <v>0</v>
      </c>
      <c r="H830" s="94">
        <f>IFERROR(VLOOKUP($B830,'Aktuelle Einnahmen'!A2:G104,7,0),"")</f>
        <v>0</v>
      </c>
      <c r="I830" s="186" t="e">
        <f>DATE(H830,G830,F830)</f>
        <v>#NUM!</v>
      </c>
      <c r="J830" s="472">
        <f ca="1">J820</f>
        <v>45475</v>
      </c>
      <c r="K830" s="501" t="str">
        <f t="shared" si="274"/>
        <v>+Inflat.-P</v>
      </c>
      <c r="L830" s="1262" t="str">
        <f>IFERROR(VLOOKUP(B830,'Aktuelle Einnahmen'!A22:I124,9,0),"")</f>
        <v>Auswahl treffen</v>
      </c>
      <c r="M830" s="1263"/>
      <c r="N830" s="261"/>
      <c r="O830" s="261"/>
      <c r="P830" s="261"/>
      <c r="Q830" s="261"/>
      <c r="R830" s="189"/>
      <c r="S830" s="190"/>
      <c r="T830" s="190"/>
      <c r="U830" s="191"/>
      <c r="V830" s="192"/>
      <c r="W830" s="190"/>
      <c r="X830" s="190"/>
      <c r="Y830" s="191"/>
      <c r="Z830" s="192"/>
      <c r="AA830" s="190"/>
      <c r="AB830" s="190"/>
      <c r="AC830" s="191"/>
      <c r="AD830" s="192"/>
      <c r="AE830" s="190"/>
      <c r="AF830" s="190"/>
      <c r="AG830" s="191"/>
      <c r="AH830" s="193"/>
      <c r="AI830" s="190"/>
      <c r="AJ830" s="190"/>
      <c r="AK830" s="374"/>
      <c r="AL830" s="348"/>
      <c r="AM830" s="354"/>
      <c r="AN830" s="354"/>
      <c r="AO830" s="354"/>
      <c r="AP830" s="354"/>
      <c r="AQ830" s="350"/>
      <c r="AR830" s="769"/>
      <c r="AS830" s="769"/>
      <c r="AT830" s="769"/>
      <c r="BM830" s="335"/>
    </row>
    <row r="831" spans="1:65" ht="22.25" customHeight="1">
      <c r="A831" s="181">
        <f t="shared" si="270"/>
        <v>45292</v>
      </c>
      <c r="B831" s="484" t="e">
        <f>DAY(I830)</f>
        <v>#NUM!</v>
      </c>
      <c r="C831" s="489" t="s">
        <v>158</v>
      </c>
      <c r="D831" s="520" t="e">
        <f>(I831*4)+J831/3+1</f>
        <v>#NUM!</v>
      </c>
      <c r="E831" s="194" t="e">
        <f>J833+1</f>
        <v>#NUM!</v>
      </c>
      <c r="F831" s="195" t="e">
        <f t="shared" ref="F831:F838" si="287">DAY(E831)</f>
        <v>#NUM!</v>
      </c>
      <c r="G831" s="196" t="e">
        <f t="shared" ref="G831:G838" si="288">MONTH(E831)</f>
        <v>#NUM!</v>
      </c>
      <c r="H831" s="195" t="e">
        <f t="shared" ref="H831:H838" si="289">YEAR(E831)</f>
        <v>#NUM!</v>
      </c>
      <c r="I831" s="197" t="e">
        <f>H831-(H830+2000)</f>
        <v>#NUM!</v>
      </c>
      <c r="J831" s="198" t="e">
        <f>G831-G830</f>
        <v>#NUM!</v>
      </c>
      <c r="K831" s="506" t="str">
        <f>L829</f>
        <v/>
      </c>
      <c r="L831" s="469"/>
      <c r="M831" s="473" t="e">
        <f ca="1">SUM(J830-E832)&amp;" Tage"</f>
        <v>#NUM!</v>
      </c>
      <c r="N831" s="206"/>
      <c r="O831" s="201"/>
      <c r="P831" s="201"/>
      <c r="Q831" s="202"/>
      <c r="R831" s="189"/>
      <c r="S831" s="203"/>
      <c r="T831" s="203"/>
      <c r="U831" s="204"/>
      <c r="V831" s="192"/>
      <c r="W831" s="203"/>
      <c r="X831" s="203"/>
      <c r="Y831" s="204"/>
      <c r="Z831" s="192"/>
      <c r="AA831" s="203"/>
      <c r="AB831" s="203"/>
      <c r="AC831" s="204"/>
      <c r="AD831" s="192"/>
      <c r="AE831" s="203"/>
      <c r="AF831" s="203"/>
      <c r="AG831" s="204"/>
      <c r="AH831" s="193"/>
      <c r="AI831" s="203"/>
      <c r="AJ831" s="203"/>
      <c r="AK831" s="375"/>
      <c r="AL831" s="348"/>
      <c r="AM831" s="354"/>
      <c r="AN831" s="354"/>
      <c r="AO831" s="354"/>
      <c r="AP831" s="354"/>
      <c r="AQ831" s="350"/>
      <c r="AR831" s="769"/>
      <c r="AS831" s="769"/>
      <c r="AT831" s="769"/>
      <c r="BM831" s="335"/>
    </row>
    <row r="832" spans="1:65" ht="22.25" customHeight="1">
      <c r="A832" s="181">
        <f t="shared" si="270"/>
        <v>45292</v>
      </c>
      <c r="B832" s="485"/>
      <c r="C832" s="490"/>
      <c r="D832" s="521"/>
      <c r="E832" s="194" t="e">
        <f>DATE(YEAR(E831),MONTH(E831)+3,DAY(E831)-1)</f>
        <v>#NUM!</v>
      </c>
      <c r="F832" s="195" t="e">
        <f t="shared" si="287"/>
        <v>#NUM!</v>
      </c>
      <c r="G832" s="196" t="e">
        <f t="shared" si="288"/>
        <v>#NUM!</v>
      </c>
      <c r="H832" s="195" t="e">
        <f t="shared" si="289"/>
        <v>#NUM!</v>
      </c>
      <c r="I832" s="244">
        <v>-1</v>
      </c>
      <c r="J832" s="198" t="e">
        <f>F831-F830</f>
        <v>#NUM!</v>
      </c>
      <c r="K832" s="506" t="str">
        <f t="shared" si="274"/>
        <v>+Inflat.-P</v>
      </c>
      <c r="L832" s="511" t="e">
        <f>IF(M829="Stufe A",IF(AND(L830="Auswahl treffen",D831&gt;=0,D831&lt;=1000),J829,IF(AND(L830="Vermögend und ambulant",D831&gt;8,D831&lt;=1000),130,IF(AND(L830="Vermögend und ambulant",D831&gt;4,D831&lt;=8),158,IF(AND(L830="Vermögend und ambulant",D831&gt;2,D831&lt;=4),192,IF(AND(L830="Vermögend und ambulant",D831&gt;1,D831&lt;=2),208,IF(AND(L830="Vermögend und ambulant",D831&gt;0,D831&lt;=1),298,IF(AND(L830="Vermögend und stationär",D831&gt;8,D831&lt;=1000),78,IF(AND(L830="Vermögend und stationär",D831&gt;4,D831&lt;=8),91,IF(AND(L830="Vermögend und stationär",D831&gt;2,D831&lt;=4),140,IF(AND(L830="Vermögend und stationär",D831&gt;1,D831&lt;=2),158,IF(AND(L830="Vermögend und stationär",D831&gt;0,D831&lt;=1),200,IF(AND(L830="Mittellos und ambulant",D831&gt;8,D831&lt;=1000),105,IF(AND(L830="Mittellos und ambulant",D831&gt;4,D831&lt;=8),122,IF(AND(L830="Mittellos und ambulant",D831&gt;2,D831&lt;=4),151,IF(AND(L830="Mittellos und ambulant",D831&gt;1,D831&lt;=2),170,IF(AND(L830="Mittellos und ambulant",D831&gt;0,D831&lt;=1),208,IF(AND(L830="Mittellos und stationär",D831&gt;8,D831&lt;=1000),62,IF(AND(L830="Mittellos und stationär",D831&gt;4,D831&lt;=8),87,IF(AND(L830="Mittellos und stationär",D831&gt;2,D831&lt;=4),124,IF(AND(L830="Mittellos und stationär",D831&gt;1,D831&lt;=2),129,IF(AND(L830="Mittellos und stationär",D831&gt;0,D831&lt;=1),194,""))))))))))))))))))))),IF(M829="Stufe B",IF(AND(L830="Auswahl treffen",D831&gt;=0,D831&lt;=1000),J829,IF(AND(L830="Vermögend und ambulant",D831&gt;8,D831&lt;=1000),161,IF(AND(L830="Vermögend und ambulant",D831&gt;4,D831&lt;=8),196,IF(AND(L830="Vermögend und ambulant",D831&gt;2,D831&lt;=4),238,IF(AND(L830="Vermögend und ambulant",D831&gt;1,D831&lt;=2),258,IF(AND(L830="Vermögend und ambulant",D831&gt;0,D831&lt;=1),370,IF(AND(L830="Vermögend und stationär",D831&gt;8,D831&lt;=1000),96,IF(AND(L830="Vermögend und stationär",D831&gt;4,D831&lt;=8),113,IF(AND(L830="Vermögend und stationär",D831&gt;2,D831&lt;=4),174,IF(AND(L830="Vermögend und stationär",D831&gt;1,D831&lt;=2),196,IF(AND(L830="Vermögend und stationär",D831&gt;0,D831&lt;=1),249,IF(AND(L830="Mittellos und ambulant",D831&gt;8,D831&lt;=1000),130,IF(AND(L830="Mittellos und ambulant",D831&gt;4,D831&lt;=8),151,IF(AND(L830="Mittellos und ambulant",D831&gt;2,D831&lt;=4),188,IF(AND(L830="Mittellos und ambulant",D831&gt;1,D831&lt;=2),211,IF(AND(L830="Mittellos und ambulant",D831&gt;0,D831&lt;=1),258,IF(AND(L830="Mittellos und stationär",D831&gt;8,D831&lt;=1000),78,IF(AND(L830="Mittellos und stationär",D831&gt;4,D831&lt;=8),107,IF(AND(L830="Mittellos und stationär",D831&gt;2,D831&lt;=4),154,IF(AND(L830="Mittellos und stationär",D831&gt;1,D831&lt;=2),158,IF(AND(L830="Mittellos und stationär",D831&gt;0,D831&lt;=1),241,""))))))))))))))))))))),IF(M829="Stufe C",IF(AND(L830="Auswahl treffen",D831&gt;=0,D831&lt;=1000),J829,IF(AND(L830="Vermögend und ambulant",D831&gt;8,D831&lt;=1000),211,IF(AND(L830="Vermögend und ambulant",D831&gt;4,D831&lt;=8),257,IF(AND(L830="Vermögend und ambulant",D831&gt;2,D831&lt;=4),312,IF(AND(L830="Vermögend und ambulant",D831&gt;1,D831&lt;=2),339,IF(AND(L830="Vermögend und ambulant",D831&gt;0,D831&lt;=1),486,IF(AND(L830="Vermögend und stationär",D831&gt;8,D831&lt;=1000),127,IF(AND(L830="Vermögend und stationär",D831&gt;4,D831&lt;=8),149,IF(AND(L830="Vermögend und stationär",D831&gt;2,D831&lt;=4),229,IF(AND(L830="Vermögend und stationär",D831&gt;1,D831&lt;=2),257,IF(AND(L830="Vermögend und stationär",D831&gt;0,D831&lt;=1),327,IF(AND(L830="Mittellos und ambulant",D831&gt;8,D831&lt;=1000),171,IF(AND(L830="Mittellos und ambulant",D831&gt;4,D831&lt;=8),198,IF(AND(L830="Mittellos und ambulant",D831&gt;2,D831&lt;=4),246,IF(AND(L830="Mittellos und ambulant",D831&gt;1,D831&lt;=2),277,IF(AND(L830="Mittellos und ambulant",D831&gt;0,D831&lt;=1),339,IF(AND(L830="Mittellos und stationär",D831&gt;8,D831&lt;=1000),102,IF(AND(L830="Mittellos und stationär",D831&gt;4,D831&lt;=8),141,IF(AND(L830="Mittellos und stationär",D831&gt;2,D831&lt;=4),202,IF(AND(L830="Mittellos und stationär",D831&gt;1,D831&lt;=2),208,IF(AND(L830="Mittellos und stationär",D831&gt;0,D831&lt;=1),317,""))))))))))))))))))))),"")))*3+(J829*90)</f>
        <v>#NUM!</v>
      </c>
      <c r="M832" s="507" t="str">
        <f>CONCATENATE(K832, K831)</f>
        <v>+Inflat.-P</v>
      </c>
      <c r="N832" s="206" t="s">
        <v>118</v>
      </c>
      <c r="O832" s="207"/>
      <c r="P832" s="207"/>
      <c r="Q832" s="208"/>
      <c r="R832" s="187"/>
      <c r="S832" s="209" t="s">
        <v>118</v>
      </c>
      <c r="T832" s="201" t="s">
        <v>117</v>
      </c>
      <c r="U832" s="210" t="s">
        <v>26</v>
      </c>
      <c r="V832" s="192"/>
      <c r="W832" s="203"/>
      <c r="X832" s="203"/>
      <c r="Y832" s="210"/>
      <c r="Z832" s="192"/>
      <c r="AA832" s="203"/>
      <c r="AB832" s="203"/>
      <c r="AC832" s="210"/>
      <c r="AD832" s="192"/>
      <c r="AE832" s="203"/>
      <c r="AF832" s="203"/>
      <c r="AG832" s="210"/>
      <c r="AH832" s="193"/>
      <c r="AI832" s="203"/>
      <c r="AJ832" s="203"/>
      <c r="AK832" s="376"/>
      <c r="AL832" s="348" t="s">
        <v>148</v>
      </c>
      <c r="AM832" s="354">
        <f>IF(SUM(N830:N838)=SUM(S830:S838), 0, SUM(N830:N838)-SUM(S830:S838))</f>
        <v>0</v>
      </c>
      <c r="AN832" s="354"/>
      <c r="AO832" s="354"/>
      <c r="AP832" s="354"/>
      <c r="AQ832" s="350">
        <f>AM832+AN832+AO832+AP832</f>
        <v>0</v>
      </c>
      <c r="AR832" s="769"/>
      <c r="AS832" s="769"/>
      <c r="AT832" s="769"/>
      <c r="BM832" s="335"/>
    </row>
    <row r="833" spans="1:65" ht="22.25" customHeight="1">
      <c r="A833" s="181">
        <f t="shared" si="270"/>
        <v>45292</v>
      </c>
      <c r="B833" s="484" t="e">
        <f>MONTH(I830)</f>
        <v>#NUM!</v>
      </c>
      <c r="C833" s="489" t="s">
        <v>158</v>
      </c>
      <c r="D833" s="522" t="e">
        <f>D831+1</f>
        <v>#NUM!</v>
      </c>
      <c r="E833" s="211" t="e">
        <f>DATE(YEAR(E832),MONTH(E832),DAY(E832)+1)</f>
        <v>#NUM!</v>
      </c>
      <c r="F833" s="212" t="e">
        <f t="shared" si="287"/>
        <v>#NUM!</v>
      </c>
      <c r="G833" s="213" t="e">
        <f t="shared" si="288"/>
        <v>#NUM!</v>
      </c>
      <c r="H833" s="212" t="e">
        <f t="shared" si="289"/>
        <v>#NUM!</v>
      </c>
      <c r="I833" s="214" t="str">
        <f>IF(D830&lt;&gt;0,"-1T","")</f>
        <v/>
      </c>
      <c r="J833" s="215" t="e">
        <f>DATE($B835,I834,$B831)</f>
        <v>#NUM!</v>
      </c>
      <c r="K833" s="501" t="str">
        <f t="shared" si="274"/>
        <v/>
      </c>
      <c r="L833" s="470"/>
      <c r="M833" s="473" t="e">
        <f ca="1">SUM(J830-E834)&amp;" Tage"</f>
        <v>#NUM!</v>
      </c>
      <c r="N833" s="216"/>
      <c r="O833" s="217"/>
      <c r="P833" s="188"/>
      <c r="Q833" s="217"/>
      <c r="R833" s="189"/>
      <c r="S833" s="190"/>
      <c r="T833" s="190"/>
      <c r="U833" s="191"/>
      <c r="V833" s="192"/>
      <c r="W833" s="190"/>
      <c r="X833" s="190"/>
      <c r="Y833" s="191"/>
      <c r="Z833" s="192"/>
      <c r="AA833" s="190"/>
      <c r="AB833" s="190"/>
      <c r="AC833" s="191"/>
      <c r="AD833" s="192"/>
      <c r="AE833" s="190"/>
      <c r="AF833" s="190"/>
      <c r="AG833" s="191"/>
      <c r="AH833" s="193"/>
      <c r="AI833" s="190"/>
      <c r="AJ833" s="190"/>
      <c r="AK833" s="374"/>
      <c r="AL833" s="348"/>
      <c r="AM833" s="354"/>
      <c r="AN833" s="354"/>
      <c r="AO833" s="354"/>
      <c r="AP833" s="354"/>
      <c r="AQ833" s="350"/>
      <c r="AR833" s="769"/>
      <c r="AS833" s="769"/>
      <c r="AT833" s="769"/>
      <c r="BM833" s="335"/>
    </row>
    <row r="834" spans="1:65" ht="22.25" customHeight="1">
      <c r="A834" s="181">
        <f t="shared" si="270"/>
        <v>45292</v>
      </c>
      <c r="B834" s="485"/>
      <c r="C834" s="490"/>
      <c r="D834" s="521"/>
      <c r="E834" s="218" t="e">
        <f>DATE(YEAR(E833),MONTH(E833)+3,DAY(E833)-1)</f>
        <v>#NUM!</v>
      </c>
      <c r="F834" s="212" t="e">
        <f t="shared" si="287"/>
        <v>#NUM!</v>
      </c>
      <c r="G834" s="213" t="e">
        <f t="shared" si="288"/>
        <v>#NUM!</v>
      </c>
      <c r="H834" s="212" t="e">
        <f t="shared" si="289"/>
        <v>#NUM!</v>
      </c>
      <c r="I834" s="219">
        <f>MAX(I835:I838)</f>
        <v>9</v>
      </c>
      <c r="J834" s="220" t="e">
        <f>DATE(YEAR(J833)+1,MONTH(J833),DAY(J833))</f>
        <v>#NUM!</v>
      </c>
      <c r="K834" s="506" t="str">
        <f t="shared" si="274"/>
        <v>+Inflat.-P</v>
      </c>
      <c r="L834" s="508" t="e">
        <f>IF(M829="Stufe A",IF(AND(L830="Auswahl treffen",D833&gt;=0,D833&lt;=1000),J829,IF(AND(L830="Vermögend und ambulant",D833&gt;8,D833&lt;=1000),130,IF(AND(L830="Vermögend und ambulant",D833&gt;4,D833&lt;=8),158,IF(AND(L830="Vermögend und ambulant",D833&gt;2,D833&lt;=4),192,IF(AND(L830="Vermögend und ambulant",D833&gt;1,D833&lt;=2),208,IF(AND(L830="Vermögend und ambulant",D833&gt;0,D833&lt;=1),298,IF(AND(L830="Vermögend und stationär",D833&gt;8,D833&lt;=1000),78,IF(AND(L830="Vermögend und stationär",D833&gt;4,D833&lt;=8),91,IF(AND(L830="Vermögend und stationär",D833&gt;2,D833&lt;=4),140,IF(AND(L830="Vermögend und stationär",D833&gt;1,D833&lt;=2),158,IF(AND(L830="Vermögend und stationär",D833&gt;0,D833&lt;=1),200,IF(AND(L830="Mittellos und ambulant",D833&gt;8,D833&lt;=1000),105,IF(AND(L830="Mittellos und ambulant",D833&gt;4,D833&lt;=8),122,IF(AND(L830="Mittellos und ambulant",D833&gt;2,D833&lt;=4),151,IF(AND(L830="Mittellos und ambulant",D833&gt;1,D833&lt;=2),170,IF(AND(L830="Mittellos und ambulant",D833&gt;0,D833&lt;=1),208,IF(AND(L830="Mittellos und stationär",D833&gt;8,D833&lt;=1000),62,IF(AND(L830="Mittellos und stationär",D833&gt;4,D833&lt;=8),87,IF(AND(L830="Mittellos und stationär",D833&gt;2,D833&lt;=4),124,IF(AND(L830="Mittellos und stationär",D833&gt;1,D833&lt;=2),129,IF(AND(L830="Mittellos und stationär",D833&gt;0,D833&lt;=1),194,""))))))))))))))))))))),IF(M829="Stufe B",IF(AND(L830="Auswahl treffen",D833&gt;=0,D833&lt;=1000),J829,IF(AND(L830="Vermögend und ambulant",D833&gt;8,D833&lt;=1000),161,IF(AND(L830="Vermögend und ambulant",D833&gt;4,D833&lt;=8),196,IF(AND(L830="Vermögend und ambulant",D833&gt;2,D833&lt;=4),238,IF(AND(L830="Vermögend und ambulant",D833&gt;1,D833&lt;=2),258,IF(AND(L830="Vermögend und ambulant",D833&gt;0,D833&lt;=1),370,IF(AND(L830="Vermögend und stationär",D833&gt;8,D833&lt;=1000),96,IF(AND(L830="Vermögend und stationär",D833&gt;4,D833&lt;=8),113,IF(AND(L830="Vermögend und stationär",D833&gt;2,D833&lt;=4),174,IF(AND(L830="Vermögend und stationär",D833&gt;1,D833&lt;=2),196,IF(AND(L830="Vermögend und stationär",D833&gt;0,D833&lt;=1),249,IF(AND(L830="Mittellos und ambulant",D833&gt;8,D833&lt;=1000),130,IF(AND(L830="Mittellos und ambulant",D833&gt;4,D833&lt;=8),151,IF(AND(L830="Mittellos und ambulant",D833&gt;2,D833&lt;=4),188,IF(AND(L830="Mittellos und ambulant",D833&gt;1,D833&lt;=2),211,IF(AND(L830="Mittellos und ambulant",D833&gt;0,D833&lt;=1),258,IF(AND(L830="Mittellos und stationär",D833&gt;8,D833&lt;=1000),78,IF(AND(L830="Mittellos und stationär",D833&gt;4,D833&lt;=8),107,IF(AND(L830="Mittellos und stationär",D833&gt;2,D833&lt;=4),154,IF(AND(L830="Mittellos und stationär",D833&gt;1,D833&lt;=2),158,IF(AND(L830="Mittellos und stationär",D833&gt;0,D833&lt;=1),241,""))))))))))))))))))))),IF(M829="Stufe C",IF(AND(L830="Auswahl treffen",D833&gt;=0,D833&lt;=1000),J829,IF(AND(L830="Vermögend und ambulant",D833&gt;8,D833&lt;=1000),211,IF(AND(L830="Vermögend und ambulant",D833&gt;4,D833&lt;=8),257,IF(AND(L830="Vermögend und ambulant",D833&gt;2,D833&lt;=4),312,IF(AND(L830="Vermögend und ambulant",D833&gt;1,D833&lt;=2),339,IF(AND(L830="Vermögend und ambulant",D833&gt;0,D833&lt;=1),486,IF(AND(L830="Vermögend und stationär",D833&gt;8,D833&lt;=1000),127,IF(AND(L830="Vermögend und stationär",D833&gt;4,D833&lt;=8),149,IF(AND(L830="Vermögend und stationär",D833&gt;2,D833&lt;=4),229,IF(AND(L830="Vermögend und stationär",D833&gt;1,D833&lt;=2),257,IF(AND(L830="Vermögend und stationär",D833&gt;0,D833&lt;=1),327,IF(AND(L830="Mittellos und ambulant",D833&gt;8,D833&lt;=1000),171,IF(AND(L830="Mittellos und ambulant",D833&gt;4,D833&lt;=8),198,IF(AND(L830="Mittellos und ambulant",D833&gt;2,D833&lt;=4),246,IF(AND(L830="Mittellos und ambulant",D833&gt;1,D833&lt;=2),277,IF(AND(L830="Mittellos und ambulant",D833&gt;0,D833&lt;=1),339,IF(AND(L830="Mittellos und stationär",D833&gt;8,D833&lt;=1000),102,IF(AND(L830="Mittellos und stationär",D833&gt;4,D833&lt;=8),141,IF(AND(L830="Mittellos und stationär",D833&gt;2,D833&lt;=4),202,IF(AND(L830="Mittellos und stationär",D833&gt;1,D833&lt;=2),208,IF(AND(L830="Mittellos und stationär",D833&gt;0,D833&lt;=1),317,""))))))))))))))))))))),"")))*3+(J829*90)</f>
        <v>#NUM!</v>
      </c>
      <c r="M834" s="507" t="str">
        <f>CONCATENATE(K834, K833)</f>
        <v>+Inflat.-P</v>
      </c>
      <c r="N834" s="216"/>
      <c r="O834" s="188" t="s">
        <v>118</v>
      </c>
      <c r="P834" s="188"/>
      <c r="Q834" s="221"/>
      <c r="R834" s="199"/>
      <c r="S834" s="190"/>
      <c r="T834" s="190"/>
      <c r="U834" s="191"/>
      <c r="V834" s="192"/>
      <c r="W834" s="222" t="s">
        <v>118</v>
      </c>
      <c r="X834" s="222" t="s">
        <v>117</v>
      </c>
      <c r="Y834" s="191" t="s">
        <v>26</v>
      </c>
      <c r="Z834" s="192"/>
      <c r="AA834" s="190"/>
      <c r="AB834" s="190"/>
      <c r="AC834" s="191"/>
      <c r="AD834" s="192"/>
      <c r="AE834" s="190"/>
      <c r="AF834" s="190"/>
      <c r="AG834" s="191"/>
      <c r="AH834" s="193"/>
      <c r="AI834" s="190"/>
      <c r="AJ834" s="190"/>
      <c r="AK834" s="374"/>
      <c r="AL834" s="348" t="s">
        <v>149</v>
      </c>
      <c r="AM834" s="354"/>
      <c r="AN834" s="354">
        <f>IF(SUM(O830:O838)=SUM(W830:W838), 0, SUM(O830:O838)-SUM(W830:W838))</f>
        <v>0</v>
      </c>
      <c r="AO834" s="354"/>
      <c r="AP834" s="354"/>
      <c r="AQ834" s="350">
        <f>AM834+AN834+AO834+AP834</f>
        <v>0</v>
      </c>
      <c r="AR834" s="769"/>
      <c r="AS834" s="769"/>
      <c r="AT834" s="769"/>
      <c r="BM834" s="335"/>
    </row>
    <row r="835" spans="1:65" ht="22.25" customHeight="1">
      <c r="A835" s="181">
        <f t="shared" si="270"/>
        <v>45292</v>
      </c>
      <c r="B835" s="484">
        <f>YEAR($A836)-1</f>
        <v>2023</v>
      </c>
      <c r="C835" s="489" t="s">
        <v>158</v>
      </c>
      <c r="D835" s="520" t="e">
        <f>D833+1</f>
        <v>#NUM!</v>
      </c>
      <c r="E835" s="194" t="e">
        <f>DATE(YEAR(E834),MONTH(E834),DAY(E834)+1)</f>
        <v>#NUM!</v>
      </c>
      <c r="F835" s="195" t="e">
        <f t="shared" si="287"/>
        <v>#NUM!</v>
      </c>
      <c r="G835" s="196" t="e">
        <f t="shared" si="288"/>
        <v>#NUM!</v>
      </c>
      <c r="H835" s="195" t="e">
        <f t="shared" si="289"/>
        <v>#NUM!</v>
      </c>
      <c r="I835" s="197">
        <f>IF(J837&lt;13,J837,"")</f>
        <v>9</v>
      </c>
      <c r="J835" s="224">
        <f>G830</f>
        <v>0</v>
      </c>
      <c r="K835" s="501" t="str">
        <f t="shared" si="274"/>
        <v/>
      </c>
      <c r="L835" s="471"/>
      <c r="M835" s="473" t="e">
        <f ca="1">SUM(J830-E836)&amp;" Tage"</f>
        <v>#NUM!</v>
      </c>
      <c r="N835" s="200"/>
      <c r="O835" s="201"/>
      <c r="P835" s="201"/>
      <c r="Q835" s="202"/>
      <c r="R835" s="189"/>
      <c r="S835" s="203"/>
      <c r="T835" s="203"/>
      <c r="U835" s="204"/>
      <c r="V835" s="192"/>
      <c r="W835" s="203"/>
      <c r="X835" s="203"/>
      <c r="Y835" s="204"/>
      <c r="Z835" s="192"/>
      <c r="AA835" s="203"/>
      <c r="AB835" s="203"/>
      <c r="AC835" s="204"/>
      <c r="AD835" s="192"/>
      <c r="AE835" s="203"/>
      <c r="AF835" s="203"/>
      <c r="AG835" s="204"/>
      <c r="AH835" s="193"/>
      <c r="AI835" s="203"/>
      <c r="AJ835" s="203"/>
      <c r="AK835" s="375"/>
      <c r="AL835" s="348"/>
      <c r="AM835" s="354"/>
      <c r="AN835" s="354"/>
      <c r="AO835" s="354"/>
      <c r="AP835" s="354"/>
      <c r="AQ835" s="350"/>
      <c r="AR835" s="769"/>
      <c r="AS835" s="769"/>
      <c r="AT835" s="769"/>
      <c r="BM835" s="335"/>
    </row>
    <row r="836" spans="1:65" ht="22.25" customHeight="1">
      <c r="A836" s="181">
        <f t="shared" si="270"/>
        <v>45292</v>
      </c>
      <c r="B836" s="485"/>
      <c r="C836" s="490"/>
      <c r="D836" s="521"/>
      <c r="E836" s="194" t="e">
        <f>DATE(YEAR(E835),MONTH(E835)+3,DAY(E835)-1)</f>
        <v>#NUM!</v>
      </c>
      <c r="F836" s="195" t="e">
        <f t="shared" si="287"/>
        <v>#NUM!</v>
      </c>
      <c r="G836" s="196" t="e">
        <f t="shared" si="288"/>
        <v>#NUM!</v>
      </c>
      <c r="H836" s="195" t="e">
        <f t="shared" si="289"/>
        <v>#NUM!</v>
      </c>
      <c r="I836" s="244">
        <f>IF(J838&lt;13,J838,"")</f>
        <v>6</v>
      </c>
      <c r="J836" s="224">
        <f>J835+3</f>
        <v>3</v>
      </c>
      <c r="K836" s="506" t="str">
        <f t="shared" si="274"/>
        <v>+Inflat.-P</v>
      </c>
      <c r="L836" s="511" t="e">
        <f>IF(M829="Stufe A",IF(AND(L830="Auswahl treffen",D835&gt;=0,D835&lt;=1000),J829,IF(AND(L830="Vermögend und ambulant",D835&gt;8,D835&lt;=1000),130,IF(AND(L830="Vermögend und ambulant",D835&gt;4,D835&lt;=8),158,IF(AND(L830="Vermögend und ambulant",D835&gt;2,D835&lt;=4),192,IF(AND(L830="Vermögend und ambulant",D835&gt;1,D835&lt;=2),208,IF(AND(L830="Vermögend und ambulant",D835&gt;0,D835&lt;=1),298,IF(AND(L830="Vermögend und stationär",D835&gt;8,D835&lt;=1000),78,IF(AND(L830="Vermögend und stationär",D835&gt;4,D835&lt;=8),91,IF(AND(L830="Vermögend und stationär",D835&gt;2,D835&lt;=4),140,IF(AND(L830="Vermögend und stationär",D835&gt;1,D835&lt;=2),158,IF(AND(L830="Vermögend und stationär",D835&gt;0,D835&lt;=1),200,IF(AND(L830="Mittellos und ambulant",D835&gt;8,D835&lt;=1000),105,IF(AND(L830="Mittellos und ambulant",D835&gt;4,D835&lt;=8),122,IF(AND(L830="Mittellos und ambulant",D835&gt;2,D835&lt;=4),151,IF(AND(L830="Mittellos und ambulant",D835&gt;1,D835&lt;=2),170,IF(AND(L830="Mittellos und ambulant",D835&gt;0,D835&lt;=1),208,IF(AND(L830="Mittellos und stationär",D835&gt;8,D835&lt;=1000),62,IF(AND(L830="Mittellos und stationär",D835&gt;4,D835&lt;=8),87,IF(AND(L830="Mittellos und stationär",D835&gt;2,D835&lt;=4),124,IF(AND(L830="Mittellos und stationär",D835&gt;1,D835&lt;=2),129,IF(AND(L830="Mittellos und stationär",D835&gt;0,D835&lt;=1),194,""))))))))))))))))))))),IF(M829="Stufe B",IF(AND(L830="Auswahl treffen",D835&gt;=0,D835&lt;=1000),J829,IF(AND(L830="Vermögend und ambulant",D835&gt;8,D835&lt;=1000),161,IF(AND(L830="Vermögend und ambulant",D835&gt;4,D835&lt;=8),196,IF(AND(L830="Vermögend und ambulant",D835&gt;2,D835&lt;=4),238,IF(AND(L830="Vermögend und ambulant",D835&gt;1,D835&lt;=2),258,IF(AND(L830="Vermögend und ambulant",D835&gt;0,D835&lt;=1),370,IF(AND(L830="Vermögend und stationär",D835&gt;8,D835&lt;=1000),96,IF(AND(L830="Vermögend und stationär",D835&gt;4,D835&lt;=8),113,IF(AND(L830="Vermögend und stationär",D835&gt;2,D835&lt;=4),174,IF(AND(L830="Vermögend und stationär",D835&gt;1,D835&lt;=2),196,IF(AND(L830="Vermögend und stationär",D835&gt;0,D835&lt;=1),249,IF(AND(L830="Mittellos und ambulant",D835&gt;8,D835&lt;=1000),130,IF(AND(L830="Mittellos und ambulant",D835&gt;4,D835&lt;=8),151,IF(AND(L830="Mittellos und ambulant",D835&gt;2,D835&lt;=4),188,IF(AND(L830="Mittellos und ambulant",D835&gt;1,D835&lt;=2),211,IF(AND(L830="Mittellos und ambulant",D835&gt;0,D835&lt;=1),258,IF(AND(L830="Mittellos und stationär",D835&gt;8,D835&lt;=1000),78,IF(AND(L830="Mittellos und stationär",D835&gt;4,D835&lt;=8),107,IF(AND(L830="Mittellos und stationär",D835&gt;2,D835&lt;=4),154,IF(AND(L830="Mittellos und stationär",D835&gt;1,D835&lt;=2),158,IF(AND(L830="Mittellos und stationär",D835&gt;0,D835&lt;=1),241,""))))))))))))))))))))),IF(M829="Stufe C",IF(AND(L830="Auswahl treffen",D835&gt;=0,D835&lt;=1000),J829,IF(AND(L830="Vermögend und ambulant",D835&gt;8,D835&lt;=1000),211,IF(AND(L830="Vermögend und ambulant",D835&gt;4,D835&lt;=8),257,IF(AND(L830="Vermögend und ambulant",D835&gt;2,D835&lt;=4),312,IF(AND(L830="Vermögend und ambulant",D835&gt;1,D835&lt;=2),339,IF(AND(L830="Vermögend und ambulant",D835&gt;0,D835&lt;=1),486,IF(AND(L830="Vermögend und stationär",D835&gt;8,D835&lt;=1000),127,IF(AND(L830="Vermögend und stationär",D835&gt;4,D835&lt;=8),149,IF(AND(L830="Vermögend und stationär",D835&gt;2,D835&lt;=4),229,IF(AND(L830="Vermögend und stationär",D835&gt;1,D835&lt;=2),257,IF(AND(L830="Vermögend und stationär",D835&gt;0,D835&lt;=1),327,IF(AND(L830="Mittellos und ambulant",D835&gt;8,D835&lt;=1000),171,IF(AND(L830="Mittellos und ambulant",D835&gt;4,D835&lt;=8),198,IF(AND(L830="Mittellos und ambulant",D835&gt;2,D835&lt;=4),246,IF(AND(L830="Mittellos und ambulant",D835&gt;1,D835&lt;=2),277,IF(AND(L830="Mittellos und ambulant",D835&gt;0,D835&lt;=1),339,IF(AND(L830="Mittellos und stationär",D835&gt;8,D835&lt;=1000),102,IF(AND(L830="Mittellos und stationär",D835&gt;4,D835&lt;=8),141,IF(AND(L830="Mittellos und stationär",D835&gt;2,D835&lt;=4),202,IF(AND(L830="Mittellos und stationär",D835&gt;1,D835&lt;=2),208,IF(AND(L830="Mittellos und stationär",D835&gt;0,D835&lt;=1),317,""))))))))))))))))))))),"")))*3+(J829*90)</f>
        <v>#NUM!</v>
      </c>
      <c r="M836" s="507" t="str">
        <f>CONCATENATE(K836, K835)</f>
        <v>+Inflat.-P</v>
      </c>
      <c r="N836" s="206"/>
      <c r="O836" s="207"/>
      <c r="P836" s="206" t="s">
        <v>118</v>
      </c>
      <c r="Q836" s="226"/>
      <c r="R836" s="189"/>
      <c r="S836" s="203"/>
      <c r="T836" s="203"/>
      <c r="U836" s="204"/>
      <c r="V836" s="192"/>
      <c r="W836" s="203"/>
      <c r="X836" s="203"/>
      <c r="Y836" s="204"/>
      <c r="Z836" s="192"/>
      <c r="AA836" s="209" t="s">
        <v>118</v>
      </c>
      <c r="AB836" s="209" t="s">
        <v>117</v>
      </c>
      <c r="AC836" s="204" t="s">
        <v>26</v>
      </c>
      <c r="AD836" s="192"/>
      <c r="AE836" s="203"/>
      <c r="AF836" s="203"/>
      <c r="AG836" s="204"/>
      <c r="AH836" s="193"/>
      <c r="AI836" s="203"/>
      <c r="AJ836" s="203"/>
      <c r="AK836" s="375"/>
      <c r="AL836" s="348" t="s">
        <v>150</v>
      </c>
      <c r="AM836" s="354"/>
      <c r="AN836" s="354"/>
      <c r="AO836" s="354">
        <f>IF(SUM(P830:P838)=SUM(AA830:AA838), 0, SUM(P830:P838)-SUM(AA830:AA838))</f>
        <v>0</v>
      </c>
      <c r="AP836" s="354"/>
      <c r="AQ836" s="350">
        <f>AM836+AN836+AO836+AP836</f>
        <v>0</v>
      </c>
      <c r="AR836" s="769"/>
      <c r="AS836" s="769"/>
      <c r="AT836" s="769"/>
      <c r="BM836" s="335"/>
    </row>
    <row r="837" spans="1:65" ht="22.25" customHeight="1">
      <c r="A837" s="181">
        <f t="shared" si="270"/>
        <v>45292</v>
      </c>
      <c r="B837" s="486"/>
      <c r="C837" s="489" t="s">
        <v>158</v>
      </c>
      <c r="D837" s="522" t="e">
        <f>D835+1</f>
        <v>#NUM!</v>
      </c>
      <c r="E837" s="211" t="e">
        <f>DATE(YEAR(E836),MONTH(E836),DAY(E836)+1)</f>
        <v>#NUM!</v>
      </c>
      <c r="F837" s="227" t="e">
        <f t="shared" si="287"/>
        <v>#NUM!</v>
      </c>
      <c r="G837" s="228" t="e">
        <f t="shared" si="288"/>
        <v>#NUM!</v>
      </c>
      <c r="H837" s="227" t="e">
        <f t="shared" si="289"/>
        <v>#NUM!</v>
      </c>
      <c r="I837" s="231">
        <f>IF(J836&lt;13,J836,"")</f>
        <v>3</v>
      </c>
      <c r="J837" s="230">
        <f>J838+3</f>
        <v>9</v>
      </c>
      <c r="K837" s="501" t="str">
        <f t="shared" si="274"/>
        <v/>
      </c>
      <c r="L837" s="471"/>
      <c r="M837" s="473" t="e">
        <f ca="1">SUM(J830-E838)&amp;" Tage"</f>
        <v>#NUM!</v>
      </c>
      <c r="N837" s="216"/>
      <c r="O837" s="188"/>
      <c r="P837" s="188"/>
      <c r="Q837" s="217"/>
      <c r="R837" s="189"/>
      <c r="S837" s="190"/>
      <c r="T837" s="190"/>
      <c r="U837" s="191"/>
      <c r="V837" s="192"/>
      <c r="W837" s="190"/>
      <c r="X837" s="190"/>
      <c r="Y837" s="191"/>
      <c r="Z837" s="192"/>
      <c r="AA837" s="190"/>
      <c r="AB837" s="190"/>
      <c r="AC837" s="191"/>
      <c r="AD837" s="192"/>
      <c r="AE837" s="190"/>
      <c r="AF837" s="190"/>
      <c r="AG837" s="191"/>
      <c r="AH837" s="193"/>
      <c r="AI837" s="190"/>
      <c r="AJ837" s="190"/>
      <c r="AK837" s="374"/>
      <c r="AL837" s="348"/>
      <c r="AM837" s="354"/>
      <c r="AN837" s="354"/>
      <c r="AO837" s="354"/>
      <c r="AP837" s="354"/>
      <c r="AQ837" s="350"/>
      <c r="AR837" s="769"/>
      <c r="AS837" s="769"/>
      <c r="AT837" s="769"/>
      <c r="BM837" s="335"/>
    </row>
    <row r="838" spans="1:65" ht="22.25" customHeight="1">
      <c r="A838" s="181">
        <f t="shared" si="270"/>
        <v>45292</v>
      </c>
      <c r="B838" s="485"/>
      <c r="C838" s="490"/>
      <c r="D838" s="521"/>
      <c r="E838" s="218" t="e">
        <f>DATE(YEAR(E837),MONTH(E837)+3,DAY(E837)-1)</f>
        <v>#NUM!</v>
      </c>
      <c r="F838" s="227" t="e">
        <f t="shared" si="287"/>
        <v>#NUM!</v>
      </c>
      <c r="G838" s="228" t="e">
        <f t="shared" si="288"/>
        <v>#NUM!</v>
      </c>
      <c r="H838" s="227" t="e">
        <f t="shared" si="289"/>
        <v>#NUM!</v>
      </c>
      <c r="I838" s="231">
        <f>IF(J835&lt;13,J835,"")</f>
        <v>0</v>
      </c>
      <c r="J838" s="230">
        <f>J836+3</f>
        <v>6</v>
      </c>
      <c r="K838" s="501" t="str">
        <f t="shared" si="274"/>
        <v>+Inflat.-P</v>
      </c>
      <c r="L838" s="508" t="e">
        <f>IF(M829="Stufe A",IF(AND(L830="Auswahl treffen",D837&gt;=0,D837&lt;=1000),J829,IF(AND(L830="Vermögend und ambulant",D837&gt;8,D837&lt;=1000),130,IF(AND(L830="Vermögend und ambulant",D837&gt;4,D837&lt;=8),158,IF(AND(L830="Vermögend und ambulant",D837&gt;2,D837&lt;=4),192,IF(AND(L830="Vermögend und ambulant",D837&gt;1,D837&lt;=2),208,IF(AND(L830="Vermögend und ambulant",D837&gt;0,D837&lt;=1),298,IF(AND(L830="Vermögend und stationär",D837&gt;8,D837&lt;=1000),78,IF(AND(L830="Vermögend und stationär",D837&gt;4,D837&lt;=8),91,IF(AND(L830="Vermögend und stationär",D837&gt;2,D837&lt;=4),140,IF(AND(L830="Vermögend und stationär",D837&gt;1,D837&lt;=2),158,IF(AND(L830="Vermögend und stationär",D837&gt;0,D837&lt;=1),200,IF(AND(L830="Mittellos und ambulant",D837&gt;8,D837&lt;=1000),105,IF(AND(L830="Mittellos und ambulant",D837&gt;4,D837&lt;=8),122,IF(AND(L830="Mittellos und ambulant",D837&gt;2,D837&lt;=4),151,IF(AND(L830="Mittellos und ambulant",D837&gt;1,D837&lt;=2),170,IF(AND(L830="Mittellos und ambulant",D837&gt;0,D837&lt;=1),208,IF(AND(L830="Mittellos und stationär",D837&gt;8,D837&lt;=1000),62,IF(AND(L830="Mittellos und stationär",D837&gt;4,D837&lt;=8),87,IF(AND(L830="Mittellos und stationär",D837&gt;2,D837&lt;=4),124,IF(AND(L830="Mittellos und stationär",D837&gt;1,D837&lt;=2),129,IF(AND(L830="Mittellos und stationär",D837&gt;0,D837&lt;=1),194,""))))))))))))))))))))),IF(M829="Stufe B",IF(AND(L830="Auswahl treffen",D837&gt;=0,D837&lt;=1000),J829,IF(AND(L830="Vermögend und ambulant",D837&gt;8,D837&lt;=1000),161,IF(AND(L830="Vermögend und ambulant",D837&gt;4,D837&lt;=8),196,IF(AND(L830="Vermögend und ambulant",D837&gt;2,D837&lt;=4),238,IF(AND(L830="Vermögend und ambulant",D837&gt;1,D837&lt;=2),258,IF(AND(L830="Vermögend und ambulant",D837&gt;0,D837&lt;=1),370,IF(AND(L830="Vermögend und stationär",D837&gt;8,D837&lt;=1000),96,IF(AND(L830="Vermögend und stationär",D837&gt;4,D837&lt;=8),113,IF(AND(L830="Vermögend und stationär",D837&gt;2,D837&lt;=4),174,IF(AND(L830="Vermögend und stationär",D837&gt;1,D837&lt;=2),196,IF(AND(L830="Vermögend und stationär",D837&gt;0,D837&lt;=1),249,IF(AND(L830="Mittellos und ambulant",D837&gt;8,D837&lt;=1000),130,IF(AND(L830="Mittellos und ambulant",D837&gt;4,D837&lt;=8),151,IF(AND(L830="Mittellos und ambulant",D837&gt;2,D837&lt;=4),188,IF(AND(L830="Mittellos und ambulant",D837&gt;1,D837&lt;=2),211,IF(AND(L830="Mittellos und ambulant",D837&gt;0,D837&lt;=1),258,IF(AND(L830="Mittellos und stationär",D837&gt;8,D837&lt;=1000),78,IF(AND(L830="Mittellos und stationär",D837&gt;4,D837&lt;=8),107,IF(AND(L830="Mittellos und stationär",D837&gt;2,D837&lt;=4),154,IF(AND(L830="Mittellos und stationär",D837&gt;1,D837&lt;=2),158,IF(AND(L830="Mittellos und stationär",D837&gt;0,D837&lt;=1),241,""))))))))))))))))))))),IF(M829="Stufe C",IF(AND(L830="Auswahl treffen",D837&gt;=0,D837&lt;=1000),J829,IF(AND(L830="Vermögend und ambulant",D837&gt;8,D837&lt;=1000),211,IF(AND(L830="Vermögend und ambulant",D837&gt;4,D837&lt;=8),257,IF(AND(L830="Vermögend und ambulant",D837&gt;2,D837&lt;=4),312,IF(AND(L830="Vermögend und ambulant",D837&gt;1,D837&lt;=2),339,IF(AND(L830="Vermögend und ambulant",D837&gt;0,D837&lt;=1),486,IF(AND(L830="Vermögend und stationär",D837&gt;8,D837&lt;=1000),127,IF(AND(L830="Vermögend und stationär",D837&gt;4,D837&lt;=8),149,IF(AND(L830="Vermögend und stationär",D837&gt;2,D837&lt;=4),229,IF(AND(L830="Vermögend und stationär",D837&gt;1,D837&lt;=2),257,IF(AND(L830="Vermögend und stationär",D837&gt;0,D837&lt;=1),327,IF(AND(L830="Mittellos und ambulant",D837&gt;8,D837&lt;=1000),171,IF(AND(L830="Mittellos und ambulant",D837&gt;4,D837&lt;=8),198,IF(AND(L830="Mittellos und ambulant",D837&gt;2,D837&lt;=4),246,IF(AND(L830="Mittellos und ambulant",D837&gt;1,D837&lt;=2),277,IF(AND(L830="Mittellos und ambulant",D837&gt;0,D837&lt;=1),339,IF(AND(L830="Mittellos und stationär",D837&gt;8,D837&lt;=1000),102,IF(AND(L830="Mittellos und stationär",D837&gt;4,D837&lt;=8),141,IF(AND(L830="Mittellos und stationär",D837&gt;2,D837&lt;=4),202,IF(AND(L830="Mittellos und stationär",D837&gt;1,D837&lt;=2),208,IF(AND(L830="Mittellos und stationär",D837&gt;0,D837&lt;=1),317,""))))))))))))))))))))),"")))*3+(J829*90)</f>
        <v>#NUM!</v>
      </c>
      <c r="M838" s="507" t="str">
        <f>CONCATENATE(K838, K837)</f>
        <v>+Inflat.-P</v>
      </c>
      <c r="N838" s="216"/>
      <c r="O838" s="188"/>
      <c r="P838" s="188"/>
      <c r="Q838" s="217" t="s">
        <v>118</v>
      </c>
      <c r="R838" s="189"/>
      <c r="S838" s="190"/>
      <c r="T838" s="190"/>
      <c r="U838" s="191"/>
      <c r="V838" s="192"/>
      <c r="W838" s="190"/>
      <c r="X838" s="190"/>
      <c r="Y838" s="191"/>
      <c r="Z838" s="192"/>
      <c r="AA838" s="190"/>
      <c r="AB838" s="190"/>
      <c r="AC838" s="191"/>
      <c r="AD838" s="192"/>
      <c r="AE838" s="190" t="s">
        <v>118</v>
      </c>
      <c r="AF838" s="190" t="s">
        <v>117</v>
      </c>
      <c r="AG838" s="191" t="s">
        <v>26</v>
      </c>
      <c r="AH838" s="193"/>
      <c r="AI838" s="190" t="s">
        <v>118</v>
      </c>
      <c r="AJ838" s="190" t="s">
        <v>117</v>
      </c>
      <c r="AK838" s="374" t="s">
        <v>26</v>
      </c>
      <c r="AL838" s="348" t="s">
        <v>151</v>
      </c>
      <c r="AM838" s="354"/>
      <c r="AN838" s="354"/>
      <c r="AO838" s="354"/>
      <c r="AP838" s="354">
        <f>IF(SUM(Q830:Q838)=SUM(AE830:AE838,AI830:AI838), 0, SUM(Q830:Q838)-SUM(AE830:AE838,AI830:AI838))</f>
        <v>0</v>
      </c>
      <c r="AQ838" s="350">
        <f>AM838+AN838+AO838+AP838</f>
        <v>0</v>
      </c>
      <c r="AR838" s="769"/>
      <c r="AS838" s="769"/>
      <c r="AT838" s="769"/>
      <c r="BM838" s="335"/>
    </row>
    <row r="839" spans="1:65" ht="22" customHeight="1">
      <c r="A839" s="181">
        <f t="shared" si="270"/>
        <v>45292</v>
      </c>
      <c r="B839" s="232" t="s">
        <v>74</v>
      </c>
      <c r="C839" s="233" t="s">
        <v>75</v>
      </c>
      <c r="D839" s="234" t="s">
        <v>76</v>
      </c>
      <c r="E839" s="235" t="s">
        <v>11</v>
      </c>
      <c r="F839" s="235" t="s">
        <v>4</v>
      </c>
      <c r="G839" s="235" t="s">
        <v>5</v>
      </c>
      <c r="H839" s="235" t="s">
        <v>6</v>
      </c>
      <c r="I839" s="236" t="s">
        <v>77</v>
      </c>
      <c r="J839" s="306"/>
      <c r="K839" s="506" t="str">
        <f t="shared" si="274"/>
        <v/>
      </c>
      <c r="L839" s="306" t="str">
        <f>IFERROR(VLOOKUP(B840,'Aktuelle Einnahmen'!A2:J104,10,0),"")</f>
        <v/>
      </c>
      <c r="M839" s="510" t="str">
        <f>M829</f>
        <v>Stufe C</v>
      </c>
      <c r="N839" s="237"/>
      <c r="O839" s="238"/>
      <c r="P839" s="238"/>
      <c r="Q839" s="239"/>
      <c r="R839" s="240"/>
      <c r="S839" s="241"/>
      <c r="T839" s="241"/>
      <c r="U839" s="242"/>
      <c r="V839" s="243"/>
      <c r="W839" s="241"/>
      <c r="X839" s="241"/>
      <c r="Y839" s="242"/>
      <c r="Z839" s="243"/>
      <c r="AA839" s="241"/>
      <c r="AB839" s="241"/>
      <c r="AC839" s="242"/>
      <c r="AD839" s="243"/>
      <c r="AE839" s="241"/>
      <c r="AF839" s="241"/>
      <c r="AG839" s="242"/>
      <c r="AH839" s="240"/>
      <c r="AI839" s="241"/>
      <c r="AJ839" s="241"/>
      <c r="AK839" s="377"/>
      <c r="AL839" s="347"/>
      <c r="AM839" s="353"/>
      <c r="AN839" s="353"/>
      <c r="AO839" s="353"/>
      <c r="AP839" s="353"/>
      <c r="AQ839" s="349"/>
      <c r="AR839" s="768"/>
      <c r="AS839" s="768"/>
      <c r="AT839" s="768"/>
      <c r="BM839" s="335"/>
    </row>
    <row r="840" spans="1:65" ht="23" customHeight="1">
      <c r="A840" s="181">
        <f t="shared" si="270"/>
        <v>45292</v>
      </c>
      <c r="B840" s="182">
        <v>84</v>
      </c>
      <c r="C840" s="245">
        <f>IFERROR(VLOOKUP($B840,'Aktuelle Einnahmen'!A2:G104,3,0),"")</f>
        <v>0</v>
      </c>
      <c r="D840" s="246">
        <f>IFERROR(VLOOKUP($B840,'Aktuelle Einnahmen'!A2:G104,2,0),"")</f>
        <v>0</v>
      </c>
      <c r="E840" s="247">
        <f>IFERROR(VLOOKUP($B840,'Aktuelle Einnahmen'!A2:G104,4,0),"")</f>
        <v>0</v>
      </c>
      <c r="F840" s="94">
        <f>IFERROR(VLOOKUP($B840,'Aktuelle Einnahmen'!A2:G104,5,0),"")</f>
        <v>0</v>
      </c>
      <c r="G840" s="94">
        <f>IFERROR(VLOOKUP($B840,'Aktuelle Einnahmen'!A2:G104,6,0),"")</f>
        <v>0</v>
      </c>
      <c r="H840" s="94">
        <f>IFERROR(VLOOKUP($B840,'Aktuelle Einnahmen'!A2:G104,7,0),"")</f>
        <v>0</v>
      </c>
      <c r="I840" s="186" t="e">
        <f>DATE(H840,G840,F840)</f>
        <v>#NUM!</v>
      </c>
      <c r="J840" s="472">
        <f ca="1">J830</f>
        <v>45475</v>
      </c>
      <c r="K840" s="501" t="str">
        <f t="shared" si="274"/>
        <v>+Inflat.-P</v>
      </c>
      <c r="L840" s="1262" t="str">
        <f>IFERROR(VLOOKUP(B840,'Aktuelle Einnahmen'!A22:I124,9,0),"")</f>
        <v>Auswahl treffen</v>
      </c>
      <c r="M840" s="1263"/>
      <c r="N840" s="261"/>
      <c r="O840" s="261"/>
      <c r="P840" s="261"/>
      <c r="Q840" s="261"/>
      <c r="R840" s="189"/>
      <c r="S840" s="190"/>
      <c r="T840" s="190"/>
      <c r="U840" s="191"/>
      <c r="V840" s="192"/>
      <c r="W840" s="190"/>
      <c r="X840" s="190"/>
      <c r="Y840" s="191"/>
      <c r="Z840" s="192"/>
      <c r="AA840" s="190"/>
      <c r="AB840" s="190"/>
      <c r="AC840" s="191"/>
      <c r="AD840" s="192"/>
      <c r="AE840" s="190"/>
      <c r="AF840" s="190"/>
      <c r="AG840" s="191"/>
      <c r="AH840" s="193"/>
      <c r="AI840" s="190"/>
      <c r="AJ840" s="190"/>
      <c r="AK840" s="374"/>
      <c r="AL840" s="348"/>
      <c r="AM840" s="354"/>
      <c r="AN840" s="354"/>
      <c r="AO840" s="354"/>
      <c r="AP840" s="354"/>
      <c r="AQ840" s="350"/>
      <c r="AR840" s="769"/>
      <c r="AS840" s="769"/>
      <c r="AT840" s="769"/>
      <c r="BM840" s="335"/>
    </row>
    <row r="841" spans="1:65" ht="22.25" customHeight="1">
      <c r="A841" s="181">
        <f t="shared" ref="A841:A904" si="290">$A840</f>
        <v>45292</v>
      </c>
      <c r="B841" s="484" t="e">
        <f>DAY(I840)</f>
        <v>#NUM!</v>
      </c>
      <c r="C841" s="489" t="s">
        <v>158</v>
      </c>
      <c r="D841" s="520" t="e">
        <f>(I841*4)+J841/3+1</f>
        <v>#NUM!</v>
      </c>
      <c r="E841" s="194" t="e">
        <f>J843+1</f>
        <v>#NUM!</v>
      </c>
      <c r="F841" s="195" t="e">
        <f t="shared" ref="F841:F848" si="291">DAY(E841)</f>
        <v>#NUM!</v>
      </c>
      <c r="G841" s="196" t="e">
        <f t="shared" ref="G841:G848" si="292">MONTH(E841)</f>
        <v>#NUM!</v>
      </c>
      <c r="H841" s="195" t="e">
        <f t="shared" ref="H841:H848" si="293">YEAR(E841)</f>
        <v>#NUM!</v>
      </c>
      <c r="I841" s="197" t="e">
        <f>H841-(H840+2000)</f>
        <v>#NUM!</v>
      </c>
      <c r="J841" s="198" t="e">
        <f>G841-G840</f>
        <v>#NUM!</v>
      </c>
      <c r="K841" s="506" t="str">
        <f>L839</f>
        <v/>
      </c>
      <c r="L841" s="469"/>
      <c r="M841" s="473" t="e">
        <f ca="1">SUM(J840-E842)&amp;" Tage"</f>
        <v>#NUM!</v>
      </c>
      <c r="N841" s="206"/>
      <c r="O841" s="201"/>
      <c r="P841" s="201"/>
      <c r="Q841" s="202"/>
      <c r="R841" s="189"/>
      <c r="S841" s="203"/>
      <c r="T841" s="203"/>
      <c r="U841" s="204"/>
      <c r="V841" s="192"/>
      <c r="W841" s="203"/>
      <c r="X841" s="203"/>
      <c r="Y841" s="204"/>
      <c r="Z841" s="192"/>
      <c r="AA841" s="203"/>
      <c r="AB841" s="203"/>
      <c r="AC841" s="204"/>
      <c r="AD841" s="192"/>
      <c r="AE841" s="203"/>
      <c r="AF841" s="203"/>
      <c r="AG841" s="204"/>
      <c r="AH841" s="193"/>
      <c r="AI841" s="203"/>
      <c r="AJ841" s="203"/>
      <c r="AK841" s="375"/>
      <c r="AL841" s="348"/>
      <c r="AM841" s="354"/>
      <c r="AN841" s="354"/>
      <c r="AO841" s="354"/>
      <c r="AP841" s="354"/>
      <c r="AQ841" s="350"/>
      <c r="AR841" s="769"/>
      <c r="AS841" s="769"/>
      <c r="AT841" s="769"/>
      <c r="BM841" s="335"/>
    </row>
    <row r="842" spans="1:65" ht="22.25" customHeight="1">
      <c r="A842" s="181">
        <f t="shared" si="290"/>
        <v>45292</v>
      </c>
      <c r="B842" s="485"/>
      <c r="C842" s="490"/>
      <c r="D842" s="521"/>
      <c r="E842" s="194" t="e">
        <f>DATE(YEAR(E841),MONTH(E841)+3,DAY(E841)-1)</f>
        <v>#NUM!</v>
      </c>
      <c r="F842" s="195" t="e">
        <f t="shared" si="291"/>
        <v>#NUM!</v>
      </c>
      <c r="G842" s="196" t="e">
        <f t="shared" si="292"/>
        <v>#NUM!</v>
      </c>
      <c r="H842" s="195" t="e">
        <f t="shared" si="293"/>
        <v>#NUM!</v>
      </c>
      <c r="I842" s="244">
        <v>-1</v>
      </c>
      <c r="J842" s="198" t="e">
        <f>F841-F840</f>
        <v>#NUM!</v>
      </c>
      <c r="K842" s="501" t="str">
        <f t="shared" si="274"/>
        <v>+Inflat.-P</v>
      </c>
      <c r="L842" s="511" t="e">
        <f>IF(M839="Stufe A",IF(AND(L840="Auswahl treffen",D841&gt;=0,D841&lt;=1000),J839,IF(AND(L840="Vermögend und ambulant",D841&gt;8,D841&lt;=1000),130,IF(AND(L840="Vermögend und ambulant",D841&gt;4,D841&lt;=8),158,IF(AND(L840="Vermögend und ambulant",D841&gt;2,D841&lt;=4),192,IF(AND(L840="Vermögend und ambulant",D841&gt;1,D841&lt;=2),208,IF(AND(L840="Vermögend und ambulant",D841&gt;0,D841&lt;=1),298,IF(AND(L840="Vermögend und stationär",D841&gt;8,D841&lt;=1000),78,IF(AND(L840="Vermögend und stationär",D841&gt;4,D841&lt;=8),91,IF(AND(L840="Vermögend und stationär",D841&gt;2,D841&lt;=4),140,IF(AND(L840="Vermögend und stationär",D841&gt;1,D841&lt;=2),158,IF(AND(L840="Vermögend und stationär",D841&gt;0,D841&lt;=1),200,IF(AND(L840="Mittellos und ambulant",D841&gt;8,D841&lt;=1000),105,IF(AND(L840="Mittellos und ambulant",D841&gt;4,D841&lt;=8),122,IF(AND(L840="Mittellos und ambulant",D841&gt;2,D841&lt;=4),151,IF(AND(L840="Mittellos und ambulant",D841&gt;1,D841&lt;=2),170,IF(AND(L840="Mittellos und ambulant",D841&gt;0,D841&lt;=1),208,IF(AND(L840="Mittellos und stationär",D841&gt;8,D841&lt;=1000),62,IF(AND(L840="Mittellos und stationär",D841&gt;4,D841&lt;=8),87,IF(AND(L840="Mittellos und stationär",D841&gt;2,D841&lt;=4),124,IF(AND(L840="Mittellos und stationär",D841&gt;1,D841&lt;=2),129,IF(AND(L840="Mittellos und stationär",D841&gt;0,D841&lt;=1),194,""))))))))))))))))))))),IF(M839="Stufe B",IF(AND(L840="Auswahl treffen",D841&gt;=0,D841&lt;=1000),J839,IF(AND(L840="Vermögend und ambulant",D841&gt;8,D841&lt;=1000),161,IF(AND(L840="Vermögend und ambulant",D841&gt;4,D841&lt;=8),196,IF(AND(L840="Vermögend und ambulant",D841&gt;2,D841&lt;=4),238,IF(AND(L840="Vermögend und ambulant",D841&gt;1,D841&lt;=2),258,IF(AND(L840="Vermögend und ambulant",D841&gt;0,D841&lt;=1),370,IF(AND(L840="Vermögend und stationär",D841&gt;8,D841&lt;=1000),96,IF(AND(L840="Vermögend und stationär",D841&gt;4,D841&lt;=8),113,IF(AND(L840="Vermögend und stationär",D841&gt;2,D841&lt;=4),174,IF(AND(L840="Vermögend und stationär",D841&gt;1,D841&lt;=2),196,IF(AND(L840="Vermögend und stationär",D841&gt;0,D841&lt;=1),249,IF(AND(L840="Mittellos und ambulant",D841&gt;8,D841&lt;=1000),130,IF(AND(L840="Mittellos und ambulant",D841&gt;4,D841&lt;=8),151,IF(AND(L840="Mittellos und ambulant",D841&gt;2,D841&lt;=4),188,IF(AND(L840="Mittellos und ambulant",D841&gt;1,D841&lt;=2),211,IF(AND(L840="Mittellos und ambulant",D841&gt;0,D841&lt;=1),258,IF(AND(L840="Mittellos und stationär",D841&gt;8,D841&lt;=1000),78,IF(AND(L840="Mittellos und stationär",D841&gt;4,D841&lt;=8),107,IF(AND(L840="Mittellos und stationär",D841&gt;2,D841&lt;=4),154,IF(AND(L840="Mittellos und stationär",D841&gt;1,D841&lt;=2),158,IF(AND(L840="Mittellos und stationär",D841&gt;0,D841&lt;=1),241,""))))))))))))))))))))),IF(M839="Stufe C",IF(AND(L840="Auswahl treffen",D841&gt;=0,D841&lt;=1000),J839,IF(AND(L840="Vermögend und ambulant",D841&gt;8,D841&lt;=1000),211,IF(AND(L840="Vermögend und ambulant",D841&gt;4,D841&lt;=8),257,IF(AND(L840="Vermögend und ambulant",D841&gt;2,D841&lt;=4),312,IF(AND(L840="Vermögend und ambulant",D841&gt;1,D841&lt;=2),339,IF(AND(L840="Vermögend und ambulant",D841&gt;0,D841&lt;=1),486,IF(AND(L840="Vermögend und stationär",D841&gt;8,D841&lt;=1000),127,IF(AND(L840="Vermögend und stationär",D841&gt;4,D841&lt;=8),149,IF(AND(L840="Vermögend und stationär",D841&gt;2,D841&lt;=4),229,IF(AND(L840="Vermögend und stationär",D841&gt;1,D841&lt;=2),257,IF(AND(L840="Vermögend und stationär",D841&gt;0,D841&lt;=1),327,IF(AND(L840="Mittellos und ambulant",D841&gt;8,D841&lt;=1000),171,IF(AND(L840="Mittellos und ambulant",D841&gt;4,D841&lt;=8),198,IF(AND(L840="Mittellos und ambulant",D841&gt;2,D841&lt;=4),246,IF(AND(L840="Mittellos und ambulant",D841&gt;1,D841&lt;=2),277,IF(AND(L840="Mittellos und ambulant",D841&gt;0,D841&lt;=1),339,IF(AND(L840="Mittellos und stationär",D841&gt;8,D841&lt;=1000),102,IF(AND(L840="Mittellos und stationär",D841&gt;4,D841&lt;=8),141,IF(AND(L840="Mittellos und stationär",D841&gt;2,D841&lt;=4),202,IF(AND(L840="Mittellos und stationär",D841&gt;1,D841&lt;=2),208,IF(AND(L840="Mittellos und stationär",D841&gt;0,D841&lt;=1),317,""))))))))))))))))))))),"")))*3+(J839*90)</f>
        <v>#NUM!</v>
      </c>
      <c r="M842" s="507" t="str">
        <f>CONCATENATE(K842, K841)</f>
        <v>+Inflat.-P</v>
      </c>
      <c r="N842" s="206" t="s">
        <v>118</v>
      </c>
      <c r="O842" s="207"/>
      <c r="P842" s="207"/>
      <c r="Q842" s="208"/>
      <c r="R842" s="187"/>
      <c r="S842" s="209" t="s">
        <v>118</v>
      </c>
      <c r="T842" s="201" t="s">
        <v>117</v>
      </c>
      <c r="U842" s="210" t="s">
        <v>26</v>
      </c>
      <c r="V842" s="192"/>
      <c r="W842" s="203"/>
      <c r="X842" s="203"/>
      <c r="Y842" s="210"/>
      <c r="Z842" s="192"/>
      <c r="AA842" s="203"/>
      <c r="AB842" s="203"/>
      <c r="AC842" s="210"/>
      <c r="AD842" s="192"/>
      <c r="AE842" s="203"/>
      <c r="AF842" s="203"/>
      <c r="AG842" s="210"/>
      <c r="AH842" s="193"/>
      <c r="AI842" s="203"/>
      <c r="AJ842" s="203"/>
      <c r="AK842" s="376"/>
      <c r="AL842" s="348" t="s">
        <v>148</v>
      </c>
      <c r="AM842" s="354">
        <f>IF(SUM(N840:N848)=SUM(S840:S848), 0, SUM(N840:N848)-SUM(S840:S848))</f>
        <v>0</v>
      </c>
      <c r="AN842" s="354"/>
      <c r="AO842" s="354"/>
      <c r="AP842" s="354"/>
      <c r="AQ842" s="350">
        <f>AM842+AN842+AO842+AP842</f>
        <v>0</v>
      </c>
      <c r="AR842" s="769"/>
      <c r="AS842" s="769"/>
      <c r="AT842" s="769"/>
      <c r="BM842" s="335"/>
    </row>
    <row r="843" spans="1:65" ht="22.25" customHeight="1">
      <c r="A843" s="181">
        <f t="shared" si="290"/>
        <v>45292</v>
      </c>
      <c r="B843" s="484" t="e">
        <f>MONTH(I840)</f>
        <v>#NUM!</v>
      </c>
      <c r="C843" s="489" t="s">
        <v>158</v>
      </c>
      <c r="D843" s="522" t="e">
        <f>D841+1</f>
        <v>#NUM!</v>
      </c>
      <c r="E843" s="211" t="e">
        <f>DATE(YEAR(E842),MONTH(E842),DAY(E842)+1)</f>
        <v>#NUM!</v>
      </c>
      <c r="F843" s="212" t="e">
        <f t="shared" si="291"/>
        <v>#NUM!</v>
      </c>
      <c r="G843" s="213" t="e">
        <f t="shared" si="292"/>
        <v>#NUM!</v>
      </c>
      <c r="H843" s="212" t="e">
        <f t="shared" si="293"/>
        <v>#NUM!</v>
      </c>
      <c r="I843" s="214" t="str">
        <f>IF(D840&lt;&gt;0,"-1T","")</f>
        <v/>
      </c>
      <c r="J843" s="215" t="e">
        <f>DATE($B845,I844,$B841)</f>
        <v>#NUM!</v>
      </c>
      <c r="K843" s="506" t="str">
        <f t="shared" si="274"/>
        <v/>
      </c>
      <c r="L843" s="470"/>
      <c r="M843" s="473" t="e">
        <f ca="1">SUM(J840-E844)&amp;" Tage"</f>
        <v>#NUM!</v>
      </c>
      <c r="N843" s="216"/>
      <c r="O843" s="217"/>
      <c r="P843" s="188"/>
      <c r="Q843" s="217"/>
      <c r="R843" s="189"/>
      <c r="S843" s="190"/>
      <c r="T843" s="190"/>
      <c r="U843" s="191"/>
      <c r="V843" s="192"/>
      <c r="W843" s="190"/>
      <c r="X843" s="190"/>
      <c r="Y843" s="191"/>
      <c r="Z843" s="192"/>
      <c r="AA843" s="190"/>
      <c r="AB843" s="190"/>
      <c r="AC843" s="191"/>
      <c r="AD843" s="192"/>
      <c r="AE843" s="190"/>
      <c r="AF843" s="190"/>
      <c r="AG843" s="191"/>
      <c r="AH843" s="193"/>
      <c r="AI843" s="190"/>
      <c r="AJ843" s="190"/>
      <c r="AK843" s="374"/>
      <c r="AL843" s="348"/>
      <c r="AM843" s="354"/>
      <c r="AN843" s="354"/>
      <c r="AO843" s="354"/>
      <c r="AP843" s="354"/>
      <c r="AQ843" s="350"/>
      <c r="AR843" s="769"/>
      <c r="AS843" s="769"/>
      <c r="AT843" s="769"/>
      <c r="BM843" s="335"/>
    </row>
    <row r="844" spans="1:65" ht="22.25" customHeight="1">
      <c r="A844" s="181">
        <f t="shared" si="290"/>
        <v>45292</v>
      </c>
      <c r="B844" s="485"/>
      <c r="C844" s="490"/>
      <c r="D844" s="521"/>
      <c r="E844" s="218" t="e">
        <f>DATE(YEAR(E843),MONTH(E843)+3,DAY(E843)-1)</f>
        <v>#NUM!</v>
      </c>
      <c r="F844" s="212" t="e">
        <f t="shared" si="291"/>
        <v>#NUM!</v>
      </c>
      <c r="G844" s="213" t="e">
        <f t="shared" si="292"/>
        <v>#NUM!</v>
      </c>
      <c r="H844" s="212" t="e">
        <f t="shared" si="293"/>
        <v>#NUM!</v>
      </c>
      <c r="I844" s="219">
        <f>MAX(I845:I848)</f>
        <v>9</v>
      </c>
      <c r="J844" s="220" t="e">
        <f>DATE(YEAR(J843)+1,MONTH(J843),DAY(J843))</f>
        <v>#NUM!</v>
      </c>
      <c r="K844" s="501" t="str">
        <f t="shared" si="274"/>
        <v>+Inflat.-P</v>
      </c>
      <c r="L844" s="508" t="e">
        <f>IF(M839="Stufe A",IF(AND(L840="Auswahl treffen",D843&gt;=0,D843&lt;=1000),J839,IF(AND(L840="Vermögend und ambulant",D843&gt;8,D843&lt;=1000),130,IF(AND(L840="Vermögend und ambulant",D843&gt;4,D843&lt;=8),158,IF(AND(L840="Vermögend und ambulant",D843&gt;2,D843&lt;=4),192,IF(AND(L840="Vermögend und ambulant",D843&gt;1,D843&lt;=2),208,IF(AND(L840="Vermögend und ambulant",D843&gt;0,D843&lt;=1),298,IF(AND(L840="Vermögend und stationär",D843&gt;8,D843&lt;=1000),78,IF(AND(L840="Vermögend und stationär",D843&gt;4,D843&lt;=8),91,IF(AND(L840="Vermögend und stationär",D843&gt;2,D843&lt;=4),140,IF(AND(L840="Vermögend und stationär",D843&gt;1,D843&lt;=2),158,IF(AND(L840="Vermögend und stationär",D843&gt;0,D843&lt;=1),200,IF(AND(L840="Mittellos und ambulant",D843&gt;8,D843&lt;=1000),105,IF(AND(L840="Mittellos und ambulant",D843&gt;4,D843&lt;=8),122,IF(AND(L840="Mittellos und ambulant",D843&gt;2,D843&lt;=4),151,IF(AND(L840="Mittellos und ambulant",D843&gt;1,D843&lt;=2),170,IF(AND(L840="Mittellos und ambulant",D843&gt;0,D843&lt;=1),208,IF(AND(L840="Mittellos und stationär",D843&gt;8,D843&lt;=1000),62,IF(AND(L840="Mittellos und stationär",D843&gt;4,D843&lt;=8),87,IF(AND(L840="Mittellos und stationär",D843&gt;2,D843&lt;=4),124,IF(AND(L840="Mittellos und stationär",D843&gt;1,D843&lt;=2),129,IF(AND(L840="Mittellos und stationär",D843&gt;0,D843&lt;=1),194,""))))))))))))))))))))),IF(M839="Stufe B",IF(AND(L840="Auswahl treffen",D843&gt;=0,D843&lt;=1000),J839,IF(AND(L840="Vermögend und ambulant",D843&gt;8,D843&lt;=1000),161,IF(AND(L840="Vermögend und ambulant",D843&gt;4,D843&lt;=8),196,IF(AND(L840="Vermögend und ambulant",D843&gt;2,D843&lt;=4),238,IF(AND(L840="Vermögend und ambulant",D843&gt;1,D843&lt;=2),258,IF(AND(L840="Vermögend und ambulant",D843&gt;0,D843&lt;=1),370,IF(AND(L840="Vermögend und stationär",D843&gt;8,D843&lt;=1000),96,IF(AND(L840="Vermögend und stationär",D843&gt;4,D843&lt;=8),113,IF(AND(L840="Vermögend und stationär",D843&gt;2,D843&lt;=4),174,IF(AND(L840="Vermögend und stationär",D843&gt;1,D843&lt;=2),196,IF(AND(L840="Vermögend und stationär",D843&gt;0,D843&lt;=1),249,IF(AND(L840="Mittellos und ambulant",D843&gt;8,D843&lt;=1000),130,IF(AND(L840="Mittellos und ambulant",D843&gt;4,D843&lt;=8),151,IF(AND(L840="Mittellos und ambulant",D843&gt;2,D843&lt;=4),188,IF(AND(L840="Mittellos und ambulant",D843&gt;1,D843&lt;=2),211,IF(AND(L840="Mittellos und ambulant",D843&gt;0,D843&lt;=1),258,IF(AND(L840="Mittellos und stationär",D843&gt;8,D843&lt;=1000),78,IF(AND(L840="Mittellos und stationär",D843&gt;4,D843&lt;=8),107,IF(AND(L840="Mittellos und stationär",D843&gt;2,D843&lt;=4),154,IF(AND(L840="Mittellos und stationär",D843&gt;1,D843&lt;=2),158,IF(AND(L840="Mittellos und stationär",D843&gt;0,D843&lt;=1),241,""))))))))))))))))))))),IF(M839="Stufe C",IF(AND(L840="Auswahl treffen",D843&gt;=0,D843&lt;=1000),J839,IF(AND(L840="Vermögend und ambulant",D843&gt;8,D843&lt;=1000),211,IF(AND(L840="Vermögend und ambulant",D843&gt;4,D843&lt;=8),257,IF(AND(L840="Vermögend und ambulant",D843&gt;2,D843&lt;=4),312,IF(AND(L840="Vermögend und ambulant",D843&gt;1,D843&lt;=2),339,IF(AND(L840="Vermögend und ambulant",D843&gt;0,D843&lt;=1),486,IF(AND(L840="Vermögend und stationär",D843&gt;8,D843&lt;=1000),127,IF(AND(L840="Vermögend und stationär",D843&gt;4,D843&lt;=8),149,IF(AND(L840="Vermögend und stationär",D843&gt;2,D843&lt;=4),229,IF(AND(L840="Vermögend und stationär",D843&gt;1,D843&lt;=2),257,IF(AND(L840="Vermögend und stationär",D843&gt;0,D843&lt;=1),327,IF(AND(L840="Mittellos und ambulant",D843&gt;8,D843&lt;=1000),171,IF(AND(L840="Mittellos und ambulant",D843&gt;4,D843&lt;=8),198,IF(AND(L840="Mittellos und ambulant",D843&gt;2,D843&lt;=4),246,IF(AND(L840="Mittellos und ambulant",D843&gt;1,D843&lt;=2),277,IF(AND(L840="Mittellos und ambulant",D843&gt;0,D843&lt;=1),339,IF(AND(L840="Mittellos und stationär",D843&gt;8,D843&lt;=1000),102,IF(AND(L840="Mittellos und stationär",D843&gt;4,D843&lt;=8),141,IF(AND(L840="Mittellos und stationär",D843&gt;2,D843&lt;=4),202,IF(AND(L840="Mittellos und stationär",D843&gt;1,D843&lt;=2),208,IF(AND(L840="Mittellos und stationär",D843&gt;0,D843&lt;=1),317,""))))))))))))))))))))),"")))*3+(J839*90)</f>
        <v>#NUM!</v>
      </c>
      <c r="M844" s="507" t="str">
        <f>CONCATENATE(K844, K843)</f>
        <v>+Inflat.-P</v>
      </c>
      <c r="N844" s="216"/>
      <c r="O844" s="188" t="s">
        <v>118</v>
      </c>
      <c r="P844" s="188"/>
      <c r="Q844" s="221"/>
      <c r="R844" s="199"/>
      <c r="S844" s="190"/>
      <c r="T844" s="190"/>
      <c r="U844" s="191"/>
      <c r="V844" s="192"/>
      <c r="W844" s="222" t="s">
        <v>118</v>
      </c>
      <c r="X844" s="222" t="s">
        <v>117</v>
      </c>
      <c r="Y844" s="191" t="s">
        <v>26</v>
      </c>
      <c r="Z844" s="192"/>
      <c r="AA844" s="190"/>
      <c r="AB844" s="190"/>
      <c r="AC844" s="191"/>
      <c r="AD844" s="192"/>
      <c r="AE844" s="190"/>
      <c r="AF844" s="190"/>
      <c r="AG844" s="191"/>
      <c r="AH844" s="193"/>
      <c r="AI844" s="190"/>
      <c r="AJ844" s="190"/>
      <c r="AK844" s="374"/>
      <c r="AL844" s="348" t="s">
        <v>149</v>
      </c>
      <c r="AM844" s="354"/>
      <c r="AN844" s="354">
        <f>IF(SUM(O840:O848)=SUM(W840:W848), 0, SUM(O840:O848)-SUM(W840:W848))</f>
        <v>0</v>
      </c>
      <c r="AO844" s="354"/>
      <c r="AP844" s="354"/>
      <c r="AQ844" s="350">
        <f>AM844+AN844+AO844+AP844</f>
        <v>0</v>
      </c>
      <c r="AR844" s="769"/>
      <c r="AS844" s="769"/>
      <c r="AT844" s="769"/>
      <c r="BM844" s="335"/>
    </row>
    <row r="845" spans="1:65" ht="22.25" customHeight="1">
      <c r="A845" s="181">
        <f t="shared" si="290"/>
        <v>45292</v>
      </c>
      <c r="B845" s="484">
        <f>YEAR($A846)-1</f>
        <v>2023</v>
      </c>
      <c r="C845" s="489" t="s">
        <v>158</v>
      </c>
      <c r="D845" s="520" t="e">
        <f>D843+1</f>
        <v>#NUM!</v>
      </c>
      <c r="E845" s="194" t="e">
        <f>DATE(YEAR(E844),MONTH(E844),DAY(E844)+1)</f>
        <v>#NUM!</v>
      </c>
      <c r="F845" s="195" t="e">
        <f t="shared" si="291"/>
        <v>#NUM!</v>
      </c>
      <c r="G845" s="196" t="e">
        <f t="shared" si="292"/>
        <v>#NUM!</v>
      </c>
      <c r="H845" s="195" t="e">
        <f t="shared" si="293"/>
        <v>#NUM!</v>
      </c>
      <c r="I845" s="197">
        <f>IF(J847&lt;13,J847,"")</f>
        <v>9</v>
      </c>
      <c r="J845" s="224">
        <f>G840</f>
        <v>0</v>
      </c>
      <c r="K845" s="501" t="str">
        <f t="shared" si="274"/>
        <v/>
      </c>
      <c r="L845" s="471"/>
      <c r="M845" s="473" t="e">
        <f ca="1">SUM(J840-E846)&amp;" Tage"</f>
        <v>#NUM!</v>
      </c>
      <c r="N845" s="200"/>
      <c r="O845" s="201"/>
      <c r="P845" s="201"/>
      <c r="Q845" s="202"/>
      <c r="R845" s="189"/>
      <c r="S845" s="203"/>
      <c r="T845" s="203"/>
      <c r="U845" s="204"/>
      <c r="V845" s="192"/>
      <c r="W845" s="203"/>
      <c r="X845" s="203"/>
      <c r="Y845" s="204"/>
      <c r="Z845" s="192"/>
      <c r="AA845" s="203"/>
      <c r="AB845" s="203"/>
      <c r="AC845" s="204"/>
      <c r="AD845" s="192"/>
      <c r="AE845" s="203"/>
      <c r="AF845" s="203"/>
      <c r="AG845" s="204"/>
      <c r="AH845" s="193"/>
      <c r="AI845" s="203"/>
      <c r="AJ845" s="203"/>
      <c r="AK845" s="375"/>
      <c r="AL845" s="348"/>
      <c r="AM845" s="354"/>
      <c r="AN845" s="354"/>
      <c r="AO845" s="354"/>
      <c r="AP845" s="354"/>
      <c r="AQ845" s="350"/>
      <c r="AR845" s="769"/>
      <c r="AS845" s="769"/>
      <c r="AT845" s="769"/>
      <c r="BM845" s="335"/>
    </row>
    <row r="846" spans="1:65" ht="22.25" customHeight="1">
      <c r="A846" s="181">
        <f t="shared" si="290"/>
        <v>45292</v>
      </c>
      <c r="B846" s="485"/>
      <c r="C846" s="490"/>
      <c r="D846" s="521"/>
      <c r="E846" s="194" t="e">
        <f>DATE(YEAR(E845),MONTH(E845)+3,DAY(E845)-1)</f>
        <v>#NUM!</v>
      </c>
      <c r="F846" s="195" t="e">
        <f t="shared" si="291"/>
        <v>#NUM!</v>
      </c>
      <c r="G846" s="196" t="e">
        <f t="shared" si="292"/>
        <v>#NUM!</v>
      </c>
      <c r="H846" s="195" t="e">
        <f t="shared" si="293"/>
        <v>#NUM!</v>
      </c>
      <c r="I846" s="244">
        <f>IF(J848&lt;13,J848,"")</f>
        <v>6</v>
      </c>
      <c r="J846" s="224">
        <f>J845+3</f>
        <v>3</v>
      </c>
      <c r="K846" s="506" t="str">
        <f t="shared" ref="K846:K909" si="294">K844</f>
        <v>+Inflat.-P</v>
      </c>
      <c r="L846" s="511" t="e">
        <f>IF(M839="Stufe A",IF(AND(L840="Auswahl treffen",D845&gt;=0,D845&lt;=1000),J839,IF(AND(L840="Vermögend und ambulant",D845&gt;8,D845&lt;=1000),130,IF(AND(L840="Vermögend und ambulant",D845&gt;4,D845&lt;=8),158,IF(AND(L840="Vermögend und ambulant",D845&gt;2,D845&lt;=4),192,IF(AND(L840="Vermögend und ambulant",D845&gt;1,D845&lt;=2),208,IF(AND(L840="Vermögend und ambulant",D845&gt;0,D845&lt;=1),298,IF(AND(L840="Vermögend und stationär",D845&gt;8,D845&lt;=1000),78,IF(AND(L840="Vermögend und stationär",D845&gt;4,D845&lt;=8),91,IF(AND(L840="Vermögend und stationär",D845&gt;2,D845&lt;=4),140,IF(AND(L840="Vermögend und stationär",D845&gt;1,D845&lt;=2),158,IF(AND(L840="Vermögend und stationär",D845&gt;0,D845&lt;=1),200,IF(AND(L840="Mittellos und ambulant",D845&gt;8,D845&lt;=1000),105,IF(AND(L840="Mittellos und ambulant",D845&gt;4,D845&lt;=8),122,IF(AND(L840="Mittellos und ambulant",D845&gt;2,D845&lt;=4),151,IF(AND(L840="Mittellos und ambulant",D845&gt;1,D845&lt;=2),170,IF(AND(L840="Mittellos und ambulant",D845&gt;0,D845&lt;=1),208,IF(AND(L840="Mittellos und stationär",D845&gt;8,D845&lt;=1000),62,IF(AND(L840="Mittellos und stationär",D845&gt;4,D845&lt;=8),87,IF(AND(L840="Mittellos und stationär",D845&gt;2,D845&lt;=4),124,IF(AND(L840="Mittellos und stationär",D845&gt;1,D845&lt;=2),129,IF(AND(L840="Mittellos und stationär",D845&gt;0,D845&lt;=1),194,""))))))))))))))))))))),IF(M839="Stufe B",IF(AND(L840="Auswahl treffen",D845&gt;=0,D845&lt;=1000),J839,IF(AND(L840="Vermögend und ambulant",D845&gt;8,D845&lt;=1000),161,IF(AND(L840="Vermögend und ambulant",D845&gt;4,D845&lt;=8),196,IF(AND(L840="Vermögend und ambulant",D845&gt;2,D845&lt;=4),238,IF(AND(L840="Vermögend und ambulant",D845&gt;1,D845&lt;=2),258,IF(AND(L840="Vermögend und ambulant",D845&gt;0,D845&lt;=1),370,IF(AND(L840="Vermögend und stationär",D845&gt;8,D845&lt;=1000),96,IF(AND(L840="Vermögend und stationär",D845&gt;4,D845&lt;=8),113,IF(AND(L840="Vermögend und stationär",D845&gt;2,D845&lt;=4),174,IF(AND(L840="Vermögend und stationär",D845&gt;1,D845&lt;=2),196,IF(AND(L840="Vermögend und stationär",D845&gt;0,D845&lt;=1),249,IF(AND(L840="Mittellos und ambulant",D845&gt;8,D845&lt;=1000),130,IF(AND(L840="Mittellos und ambulant",D845&gt;4,D845&lt;=8),151,IF(AND(L840="Mittellos und ambulant",D845&gt;2,D845&lt;=4),188,IF(AND(L840="Mittellos und ambulant",D845&gt;1,D845&lt;=2),211,IF(AND(L840="Mittellos und ambulant",D845&gt;0,D845&lt;=1),258,IF(AND(L840="Mittellos und stationär",D845&gt;8,D845&lt;=1000),78,IF(AND(L840="Mittellos und stationär",D845&gt;4,D845&lt;=8),107,IF(AND(L840="Mittellos und stationär",D845&gt;2,D845&lt;=4),154,IF(AND(L840="Mittellos und stationär",D845&gt;1,D845&lt;=2),158,IF(AND(L840="Mittellos und stationär",D845&gt;0,D845&lt;=1),241,""))))))))))))))))))))),IF(M839="Stufe C",IF(AND(L840="Auswahl treffen",D845&gt;=0,D845&lt;=1000),J839,IF(AND(L840="Vermögend und ambulant",D845&gt;8,D845&lt;=1000),211,IF(AND(L840="Vermögend und ambulant",D845&gt;4,D845&lt;=8),257,IF(AND(L840="Vermögend und ambulant",D845&gt;2,D845&lt;=4),312,IF(AND(L840="Vermögend und ambulant",D845&gt;1,D845&lt;=2),339,IF(AND(L840="Vermögend und ambulant",D845&gt;0,D845&lt;=1),486,IF(AND(L840="Vermögend und stationär",D845&gt;8,D845&lt;=1000),127,IF(AND(L840="Vermögend und stationär",D845&gt;4,D845&lt;=8),149,IF(AND(L840="Vermögend und stationär",D845&gt;2,D845&lt;=4),229,IF(AND(L840="Vermögend und stationär",D845&gt;1,D845&lt;=2),257,IF(AND(L840="Vermögend und stationär",D845&gt;0,D845&lt;=1),327,IF(AND(L840="Mittellos und ambulant",D845&gt;8,D845&lt;=1000),171,IF(AND(L840="Mittellos und ambulant",D845&gt;4,D845&lt;=8),198,IF(AND(L840="Mittellos und ambulant",D845&gt;2,D845&lt;=4),246,IF(AND(L840="Mittellos und ambulant",D845&gt;1,D845&lt;=2),277,IF(AND(L840="Mittellos und ambulant",D845&gt;0,D845&lt;=1),339,IF(AND(L840="Mittellos und stationär",D845&gt;8,D845&lt;=1000),102,IF(AND(L840="Mittellos und stationär",D845&gt;4,D845&lt;=8),141,IF(AND(L840="Mittellos und stationär",D845&gt;2,D845&lt;=4),202,IF(AND(L840="Mittellos und stationär",D845&gt;1,D845&lt;=2),208,IF(AND(L840="Mittellos und stationär",D845&gt;0,D845&lt;=1),317,""))))))))))))))))))))),"")))*3+(J839*90)</f>
        <v>#NUM!</v>
      </c>
      <c r="M846" s="507" t="str">
        <f>CONCATENATE(K846, K845)</f>
        <v>+Inflat.-P</v>
      </c>
      <c r="N846" s="206"/>
      <c r="O846" s="207"/>
      <c r="P846" s="206" t="s">
        <v>118</v>
      </c>
      <c r="Q846" s="226"/>
      <c r="R846" s="189"/>
      <c r="S846" s="203"/>
      <c r="T846" s="203"/>
      <c r="U846" s="204"/>
      <c r="V846" s="192"/>
      <c r="W846" s="203"/>
      <c r="X846" s="203"/>
      <c r="Y846" s="204"/>
      <c r="Z846" s="192"/>
      <c r="AA846" s="209" t="s">
        <v>118</v>
      </c>
      <c r="AB846" s="209" t="s">
        <v>117</v>
      </c>
      <c r="AC846" s="204" t="s">
        <v>26</v>
      </c>
      <c r="AD846" s="192"/>
      <c r="AE846" s="203"/>
      <c r="AF846" s="203"/>
      <c r="AG846" s="204"/>
      <c r="AH846" s="193"/>
      <c r="AI846" s="203"/>
      <c r="AJ846" s="203"/>
      <c r="AK846" s="375"/>
      <c r="AL846" s="348" t="s">
        <v>150</v>
      </c>
      <c r="AM846" s="354"/>
      <c r="AN846" s="354"/>
      <c r="AO846" s="354">
        <f>IF(SUM(P840:P848)=SUM(AA840:AA848), 0, SUM(P840:P848)-SUM(AA840:AA848))</f>
        <v>0</v>
      </c>
      <c r="AP846" s="354"/>
      <c r="AQ846" s="350">
        <f>AM846+AN846+AO846+AP846</f>
        <v>0</v>
      </c>
      <c r="AR846" s="769"/>
      <c r="AS846" s="769"/>
      <c r="AT846" s="769"/>
      <c r="BM846" s="335"/>
    </row>
    <row r="847" spans="1:65" ht="22.25" customHeight="1">
      <c r="A847" s="181">
        <f t="shared" si="290"/>
        <v>45292</v>
      </c>
      <c r="B847" s="486"/>
      <c r="C847" s="489" t="s">
        <v>158</v>
      </c>
      <c r="D847" s="522" t="e">
        <f>D845+1</f>
        <v>#NUM!</v>
      </c>
      <c r="E847" s="211" t="e">
        <f>DATE(YEAR(E846),MONTH(E846),DAY(E846)+1)</f>
        <v>#NUM!</v>
      </c>
      <c r="F847" s="227" t="e">
        <f t="shared" si="291"/>
        <v>#NUM!</v>
      </c>
      <c r="G847" s="228" t="e">
        <f t="shared" si="292"/>
        <v>#NUM!</v>
      </c>
      <c r="H847" s="227" t="e">
        <f t="shared" si="293"/>
        <v>#NUM!</v>
      </c>
      <c r="I847" s="231">
        <f>IF(J846&lt;13,J846,"")</f>
        <v>3</v>
      </c>
      <c r="J847" s="230">
        <f>J848+3</f>
        <v>9</v>
      </c>
      <c r="K847" s="501" t="str">
        <f t="shared" si="294"/>
        <v/>
      </c>
      <c r="L847" s="471"/>
      <c r="M847" s="473" t="e">
        <f ca="1">SUM(J840-E848)&amp;" Tage"</f>
        <v>#NUM!</v>
      </c>
      <c r="N847" s="216"/>
      <c r="O847" s="188"/>
      <c r="P847" s="188"/>
      <c r="Q847" s="217"/>
      <c r="R847" s="189"/>
      <c r="S847" s="190"/>
      <c r="T847" s="190"/>
      <c r="U847" s="191"/>
      <c r="V847" s="192"/>
      <c r="W847" s="190"/>
      <c r="X847" s="190"/>
      <c r="Y847" s="191"/>
      <c r="Z847" s="192"/>
      <c r="AA847" s="190"/>
      <c r="AB847" s="190"/>
      <c r="AC847" s="191"/>
      <c r="AD847" s="192"/>
      <c r="AE847" s="190"/>
      <c r="AF847" s="190"/>
      <c r="AG847" s="191"/>
      <c r="AH847" s="193"/>
      <c r="AI847" s="190"/>
      <c r="AJ847" s="190"/>
      <c r="AK847" s="374"/>
      <c r="AL847" s="348"/>
      <c r="AM847" s="354"/>
      <c r="AN847" s="354"/>
      <c r="AO847" s="354"/>
      <c r="AP847" s="354"/>
      <c r="AQ847" s="350"/>
      <c r="AR847" s="769"/>
      <c r="AS847" s="769"/>
      <c r="AT847" s="769"/>
      <c r="BM847" s="335"/>
    </row>
    <row r="848" spans="1:65" ht="22.25" customHeight="1">
      <c r="A848" s="181">
        <f t="shared" si="290"/>
        <v>45292</v>
      </c>
      <c r="B848" s="485"/>
      <c r="C848" s="490"/>
      <c r="D848" s="521"/>
      <c r="E848" s="218" t="e">
        <f>DATE(YEAR(E847),MONTH(E847)+3,DAY(E847)-1)</f>
        <v>#NUM!</v>
      </c>
      <c r="F848" s="227" t="e">
        <f t="shared" si="291"/>
        <v>#NUM!</v>
      </c>
      <c r="G848" s="228" t="e">
        <f t="shared" si="292"/>
        <v>#NUM!</v>
      </c>
      <c r="H848" s="227" t="e">
        <f t="shared" si="293"/>
        <v>#NUM!</v>
      </c>
      <c r="I848" s="231">
        <f>IF(J845&lt;13,J845,"")</f>
        <v>0</v>
      </c>
      <c r="J848" s="230">
        <f>J846+3</f>
        <v>6</v>
      </c>
      <c r="K848" s="506" t="str">
        <f t="shared" si="294"/>
        <v>+Inflat.-P</v>
      </c>
      <c r="L848" s="508" t="e">
        <f>IF(M839="Stufe A",IF(AND(L840="Auswahl treffen",D847&gt;=0,D847&lt;=1000),J839,IF(AND(L840="Vermögend und ambulant",D847&gt;8,D847&lt;=1000),130,IF(AND(L840="Vermögend und ambulant",D847&gt;4,D847&lt;=8),158,IF(AND(L840="Vermögend und ambulant",D847&gt;2,D847&lt;=4),192,IF(AND(L840="Vermögend und ambulant",D847&gt;1,D847&lt;=2),208,IF(AND(L840="Vermögend und ambulant",D847&gt;0,D847&lt;=1),298,IF(AND(L840="Vermögend und stationär",D847&gt;8,D847&lt;=1000),78,IF(AND(L840="Vermögend und stationär",D847&gt;4,D847&lt;=8),91,IF(AND(L840="Vermögend und stationär",D847&gt;2,D847&lt;=4),140,IF(AND(L840="Vermögend und stationär",D847&gt;1,D847&lt;=2),158,IF(AND(L840="Vermögend und stationär",D847&gt;0,D847&lt;=1),200,IF(AND(L840="Mittellos und ambulant",D847&gt;8,D847&lt;=1000),105,IF(AND(L840="Mittellos und ambulant",D847&gt;4,D847&lt;=8),122,IF(AND(L840="Mittellos und ambulant",D847&gt;2,D847&lt;=4),151,IF(AND(L840="Mittellos und ambulant",D847&gt;1,D847&lt;=2),170,IF(AND(L840="Mittellos und ambulant",D847&gt;0,D847&lt;=1),208,IF(AND(L840="Mittellos und stationär",D847&gt;8,D847&lt;=1000),62,IF(AND(L840="Mittellos und stationär",D847&gt;4,D847&lt;=8),87,IF(AND(L840="Mittellos und stationär",D847&gt;2,D847&lt;=4),124,IF(AND(L840="Mittellos und stationär",D847&gt;1,D847&lt;=2),129,IF(AND(L840="Mittellos und stationär",D847&gt;0,D847&lt;=1),194,""))))))))))))))))))))),IF(M839="Stufe B",IF(AND(L840="Auswahl treffen",D847&gt;=0,D847&lt;=1000),J839,IF(AND(L840="Vermögend und ambulant",D847&gt;8,D847&lt;=1000),161,IF(AND(L840="Vermögend und ambulant",D847&gt;4,D847&lt;=8),196,IF(AND(L840="Vermögend und ambulant",D847&gt;2,D847&lt;=4),238,IF(AND(L840="Vermögend und ambulant",D847&gt;1,D847&lt;=2),258,IF(AND(L840="Vermögend und ambulant",D847&gt;0,D847&lt;=1),370,IF(AND(L840="Vermögend und stationär",D847&gt;8,D847&lt;=1000),96,IF(AND(L840="Vermögend und stationär",D847&gt;4,D847&lt;=8),113,IF(AND(L840="Vermögend und stationär",D847&gt;2,D847&lt;=4),174,IF(AND(L840="Vermögend und stationär",D847&gt;1,D847&lt;=2),196,IF(AND(L840="Vermögend und stationär",D847&gt;0,D847&lt;=1),249,IF(AND(L840="Mittellos und ambulant",D847&gt;8,D847&lt;=1000),130,IF(AND(L840="Mittellos und ambulant",D847&gt;4,D847&lt;=8),151,IF(AND(L840="Mittellos und ambulant",D847&gt;2,D847&lt;=4),188,IF(AND(L840="Mittellos und ambulant",D847&gt;1,D847&lt;=2),211,IF(AND(L840="Mittellos und ambulant",D847&gt;0,D847&lt;=1),258,IF(AND(L840="Mittellos und stationär",D847&gt;8,D847&lt;=1000),78,IF(AND(L840="Mittellos und stationär",D847&gt;4,D847&lt;=8),107,IF(AND(L840="Mittellos und stationär",D847&gt;2,D847&lt;=4),154,IF(AND(L840="Mittellos und stationär",D847&gt;1,D847&lt;=2),158,IF(AND(L840="Mittellos und stationär",D847&gt;0,D847&lt;=1),241,""))))))))))))))))))))),IF(M839="Stufe C",IF(AND(L840="Auswahl treffen",D847&gt;=0,D847&lt;=1000),J839,IF(AND(L840="Vermögend und ambulant",D847&gt;8,D847&lt;=1000),211,IF(AND(L840="Vermögend und ambulant",D847&gt;4,D847&lt;=8),257,IF(AND(L840="Vermögend und ambulant",D847&gt;2,D847&lt;=4),312,IF(AND(L840="Vermögend und ambulant",D847&gt;1,D847&lt;=2),339,IF(AND(L840="Vermögend und ambulant",D847&gt;0,D847&lt;=1),486,IF(AND(L840="Vermögend und stationär",D847&gt;8,D847&lt;=1000),127,IF(AND(L840="Vermögend und stationär",D847&gt;4,D847&lt;=8),149,IF(AND(L840="Vermögend und stationär",D847&gt;2,D847&lt;=4),229,IF(AND(L840="Vermögend und stationär",D847&gt;1,D847&lt;=2),257,IF(AND(L840="Vermögend und stationär",D847&gt;0,D847&lt;=1),327,IF(AND(L840="Mittellos und ambulant",D847&gt;8,D847&lt;=1000),171,IF(AND(L840="Mittellos und ambulant",D847&gt;4,D847&lt;=8),198,IF(AND(L840="Mittellos und ambulant",D847&gt;2,D847&lt;=4),246,IF(AND(L840="Mittellos und ambulant",D847&gt;1,D847&lt;=2),277,IF(AND(L840="Mittellos und ambulant",D847&gt;0,D847&lt;=1),339,IF(AND(L840="Mittellos und stationär",D847&gt;8,D847&lt;=1000),102,IF(AND(L840="Mittellos und stationär",D847&gt;4,D847&lt;=8),141,IF(AND(L840="Mittellos und stationär",D847&gt;2,D847&lt;=4),202,IF(AND(L840="Mittellos und stationär",D847&gt;1,D847&lt;=2),208,IF(AND(L840="Mittellos und stationär",D847&gt;0,D847&lt;=1),317,""))))))))))))))))))))),"")))*3+(J839*90)</f>
        <v>#NUM!</v>
      </c>
      <c r="M848" s="507" t="str">
        <f>CONCATENATE(K848, K847)</f>
        <v>+Inflat.-P</v>
      </c>
      <c r="N848" s="216"/>
      <c r="O848" s="188"/>
      <c r="P848" s="188"/>
      <c r="Q848" s="217" t="s">
        <v>118</v>
      </c>
      <c r="R848" s="189"/>
      <c r="S848" s="190"/>
      <c r="T848" s="190"/>
      <c r="U848" s="191"/>
      <c r="V848" s="192"/>
      <c r="W848" s="190"/>
      <c r="X848" s="190"/>
      <c r="Y848" s="191"/>
      <c r="Z848" s="192"/>
      <c r="AA848" s="190"/>
      <c r="AB848" s="190"/>
      <c r="AC848" s="191"/>
      <c r="AD848" s="192"/>
      <c r="AE848" s="190" t="s">
        <v>118</v>
      </c>
      <c r="AF848" s="190" t="s">
        <v>117</v>
      </c>
      <c r="AG848" s="191" t="s">
        <v>26</v>
      </c>
      <c r="AH848" s="193"/>
      <c r="AI848" s="190" t="s">
        <v>118</v>
      </c>
      <c r="AJ848" s="190" t="s">
        <v>117</v>
      </c>
      <c r="AK848" s="374" t="s">
        <v>26</v>
      </c>
      <c r="AL848" s="348" t="s">
        <v>151</v>
      </c>
      <c r="AM848" s="354"/>
      <c r="AN848" s="354"/>
      <c r="AO848" s="354"/>
      <c r="AP848" s="354">
        <f>IF(SUM(Q840:Q848)=SUM(AE840:AE848,AI840:AI848), 0, SUM(Q840:Q848)-SUM(AE840:AE848,AI840:AI848))</f>
        <v>0</v>
      </c>
      <c r="AQ848" s="350">
        <f>AM848+AN848+AO848+AP848</f>
        <v>0</v>
      </c>
      <c r="AR848" s="769"/>
      <c r="AS848" s="769"/>
      <c r="AT848" s="769"/>
      <c r="BM848" s="335"/>
    </row>
    <row r="849" spans="1:65" ht="22" customHeight="1">
      <c r="A849" s="181">
        <f t="shared" si="290"/>
        <v>45292</v>
      </c>
      <c r="B849" s="232" t="s">
        <v>74</v>
      </c>
      <c r="C849" s="233" t="s">
        <v>75</v>
      </c>
      <c r="D849" s="234" t="s">
        <v>76</v>
      </c>
      <c r="E849" s="235" t="s">
        <v>11</v>
      </c>
      <c r="F849" s="235" t="s">
        <v>4</v>
      </c>
      <c r="G849" s="235" t="s">
        <v>5</v>
      </c>
      <c r="H849" s="235" t="s">
        <v>6</v>
      </c>
      <c r="I849" s="236" t="s">
        <v>77</v>
      </c>
      <c r="J849" s="306"/>
      <c r="K849" s="501" t="str">
        <f t="shared" si="294"/>
        <v/>
      </c>
      <c r="L849" s="306" t="str">
        <f>IFERROR(VLOOKUP(B850,'Aktuelle Einnahmen'!A2:J104,10,0),"")</f>
        <v/>
      </c>
      <c r="M849" s="510" t="str">
        <f>M839</f>
        <v>Stufe C</v>
      </c>
      <c r="N849" s="237"/>
      <c r="O849" s="238"/>
      <c r="P849" s="238"/>
      <c r="Q849" s="239"/>
      <c r="R849" s="240"/>
      <c r="S849" s="241"/>
      <c r="T849" s="241"/>
      <c r="U849" s="242"/>
      <c r="V849" s="243"/>
      <c r="W849" s="241"/>
      <c r="X849" s="241"/>
      <c r="Y849" s="242"/>
      <c r="Z849" s="243"/>
      <c r="AA849" s="241"/>
      <c r="AB849" s="241"/>
      <c r="AC849" s="242"/>
      <c r="AD849" s="243"/>
      <c r="AE849" s="241"/>
      <c r="AF849" s="241"/>
      <c r="AG849" s="242"/>
      <c r="AH849" s="240"/>
      <c r="AI849" s="241"/>
      <c r="AJ849" s="241"/>
      <c r="AK849" s="377"/>
      <c r="AL849" s="347"/>
      <c r="AM849" s="353"/>
      <c r="AN849" s="353"/>
      <c r="AO849" s="353"/>
      <c r="AP849" s="353"/>
      <c r="AQ849" s="349"/>
      <c r="AR849" s="768"/>
      <c r="AS849" s="768"/>
      <c r="AT849" s="768"/>
      <c r="BM849" s="335"/>
    </row>
    <row r="850" spans="1:65" ht="23" customHeight="1">
      <c r="A850" s="181">
        <f t="shared" si="290"/>
        <v>45292</v>
      </c>
      <c r="B850" s="182">
        <v>85</v>
      </c>
      <c r="C850" s="245">
        <f>IFERROR(VLOOKUP($B850,'Aktuelle Einnahmen'!A2:G104,3,0),"")</f>
        <v>0</v>
      </c>
      <c r="D850" s="246">
        <f>IFERROR(VLOOKUP($B850,'Aktuelle Einnahmen'!A2:G104,2,0),"")</f>
        <v>0</v>
      </c>
      <c r="E850" s="247">
        <f>IFERROR(VLOOKUP($B850,'Aktuelle Einnahmen'!A2:G104,4,0),"")</f>
        <v>0</v>
      </c>
      <c r="F850" s="94">
        <f>IFERROR(VLOOKUP($B850,'Aktuelle Einnahmen'!A2:G104,5,0),"")</f>
        <v>0</v>
      </c>
      <c r="G850" s="94">
        <f>IFERROR(VLOOKUP($B850,'Aktuelle Einnahmen'!A2:G104,6,0),"")</f>
        <v>0</v>
      </c>
      <c r="H850" s="94">
        <f>IFERROR(VLOOKUP($B850,'Aktuelle Einnahmen'!A2:G104,7,0),"")</f>
        <v>0</v>
      </c>
      <c r="I850" s="186" t="e">
        <f>DATE(H850,G850,F850)</f>
        <v>#NUM!</v>
      </c>
      <c r="J850" s="472">
        <f ca="1">J840</f>
        <v>45475</v>
      </c>
      <c r="K850" s="506" t="str">
        <f t="shared" si="294"/>
        <v>+Inflat.-P</v>
      </c>
      <c r="L850" s="1262" t="str">
        <f>IFERROR(VLOOKUP(B850,'Aktuelle Einnahmen'!A22:I124,9,0),"")</f>
        <v>Auswahl treffen</v>
      </c>
      <c r="M850" s="1263"/>
      <c r="N850" s="261"/>
      <c r="O850" s="261"/>
      <c r="P850" s="261"/>
      <c r="Q850" s="261"/>
      <c r="R850" s="189"/>
      <c r="S850" s="190"/>
      <c r="T850" s="190"/>
      <c r="U850" s="191"/>
      <c r="V850" s="192"/>
      <c r="W850" s="190"/>
      <c r="X850" s="190"/>
      <c r="Y850" s="191"/>
      <c r="Z850" s="192"/>
      <c r="AA850" s="190"/>
      <c r="AB850" s="190"/>
      <c r="AC850" s="191"/>
      <c r="AD850" s="192"/>
      <c r="AE850" s="190"/>
      <c r="AF850" s="190"/>
      <c r="AG850" s="191"/>
      <c r="AH850" s="193"/>
      <c r="AI850" s="190"/>
      <c r="AJ850" s="190"/>
      <c r="AK850" s="374"/>
      <c r="AL850" s="348"/>
      <c r="AM850" s="354"/>
      <c r="AN850" s="354"/>
      <c r="AO850" s="354"/>
      <c r="AP850" s="354"/>
      <c r="AQ850" s="350"/>
      <c r="AR850" s="769"/>
      <c r="AS850" s="769"/>
      <c r="AT850" s="769"/>
      <c r="BM850" s="335"/>
    </row>
    <row r="851" spans="1:65" ht="22.25" customHeight="1">
      <c r="A851" s="181">
        <f t="shared" si="290"/>
        <v>45292</v>
      </c>
      <c r="B851" s="484" t="e">
        <f>DAY(I850)</f>
        <v>#NUM!</v>
      </c>
      <c r="C851" s="489" t="s">
        <v>158</v>
      </c>
      <c r="D851" s="520" t="e">
        <f>(I851*4)+J851/3+1</f>
        <v>#NUM!</v>
      </c>
      <c r="E851" s="194" t="e">
        <f>J853+1</f>
        <v>#NUM!</v>
      </c>
      <c r="F851" s="195" t="e">
        <f t="shared" ref="F851:F858" si="295">DAY(E851)</f>
        <v>#NUM!</v>
      </c>
      <c r="G851" s="196" t="e">
        <f t="shared" ref="G851:G858" si="296">MONTH(E851)</f>
        <v>#NUM!</v>
      </c>
      <c r="H851" s="195" t="e">
        <f t="shared" ref="H851:H858" si="297">YEAR(E851)</f>
        <v>#NUM!</v>
      </c>
      <c r="I851" s="197" t="e">
        <f>H851-(H850+2000)</f>
        <v>#NUM!</v>
      </c>
      <c r="J851" s="198" t="e">
        <f>G851-G850</f>
        <v>#NUM!</v>
      </c>
      <c r="K851" s="506" t="str">
        <f>L849</f>
        <v/>
      </c>
      <c r="L851" s="469"/>
      <c r="M851" s="473" t="e">
        <f ca="1">SUM(J850-E852)&amp;" Tage"</f>
        <v>#NUM!</v>
      </c>
      <c r="N851" s="206"/>
      <c r="O851" s="201"/>
      <c r="P851" s="201"/>
      <c r="Q851" s="202"/>
      <c r="R851" s="189"/>
      <c r="S851" s="203"/>
      <c r="T851" s="203"/>
      <c r="U851" s="204"/>
      <c r="V851" s="192"/>
      <c r="W851" s="203"/>
      <c r="X851" s="203"/>
      <c r="Y851" s="204"/>
      <c r="Z851" s="192"/>
      <c r="AA851" s="203"/>
      <c r="AB851" s="203"/>
      <c r="AC851" s="204"/>
      <c r="AD851" s="192"/>
      <c r="AE851" s="203"/>
      <c r="AF851" s="203"/>
      <c r="AG851" s="204"/>
      <c r="AH851" s="193"/>
      <c r="AI851" s="203"/>
      <c r="AJ851" s="203"/>
      <c r="AK851" s="375"/>
      <c r="AL851" s="348"/>
      <c r="AM851" s="354"/>
      <c r="AN851" s="354"/>
      <c r="AO851" s="354"/>
      <c r="AP851" s="354"/>
      <c r="AQ851" s="350"/>
      <c r="AR851" s="769"/>
      <c r="AS851" s="769"/>
      <c r="AT851" s="769"/>
      <c r="BM851" s="335"/>
    </row>
    <row r="852" spans="1:65" ht="22.25" customHeight="1">
      <c r="A852" s="181">
        <f t="shared" si="290"/>
        <v>45292</v>
      </c>
      <c r="B852" s="485"/>
      <c r="C852" s="490"/>
      <c r="D852" s="521"/>
      <c r="E852" s="194" t="e">
        <f>DATE(YEAR(E851),MONTH(E851)+3,DAY(E851)-1)</f>
        <v>#NUM!</v>
      </c>
      <c r="F852" s="195" t="e">
        <f t="shared" si="295"/>
        <v>#NUM!</v>
      </c>
      <c r="G852" s="196" t="e">
        <f t="shared" si="296"/>
        <v>#NUM!</v>
      </c>
      <c r="H852" s="195" t="e">
        <f t="shared" si="297"/>
        <v>#NUM!</v>
      </c>
      <c r="I852" s="244">
        <v>-1</v>
      </c>
      <c r="J852" s="198" t="e">
        <f>F851-F850</f>
        <v>#NUM!</v>
      </c>
      <c r="K852" s="501" t="str">
        <f t="shared" si="294"/>
        <v>+Inflat.-P</v>
      </c>
      <c r="L852" s="511" t="e">
        <f>IF(M849="Stufe A",IF(AND(L850="Auswahl treffen",D851&gt;=0,D851&lt;=1000),J849,IF(AND(L850="Vermögend und ambulant",D851&gt;8,D851&lt;=1000),130,IF(AND(L850="Vermögend und ambulant",D851&gt;4,D851&lt;=8),158,IF(AND(L850="Vermögend und ambulant",D851&gt;2,D851&lt;=4),192,IF(AND(L850="Vermögend und ambulant",D851&gt;1,D851&lt;=2),208,IF(AND(L850="Vermögend und ambulant",D851&gt;0,D851&lt;=1),298,IF(AND(L850="Vermögend und stationär",D851&gt;8,D851&lt;=1000),78,IF(AND(L850="Vermögend und stationär",D851&gt;4,D851&lt;=8),91,IF(AND(L850="Vermögend und stationär",D851&gt;2,D851&lt;=4),140,IF(AND(L850="Vermögend und stationär",D851&gt;1,D851&lt;=2),158,IF(AND(L850="Vermögend und stationär",D851&gt;0,D851&lt;=1),200,IF(AND(L850="Mittellos und ambulant",D851&gt;8,D851&lt;=1000),105,IF(AND(L850="Mittellos und ambulant",D851&gt;4,D851&lt;=8),122,IF(AND(L850="Mittellos und ambulant",D851&gt;2,D851&lt;=4),151,IF(AND(L850="Mittellos und ambulant",D851&gt;1,D851&lt;=2),170,IF(AND(L850="Mittellos und ambulant",D851&gt;0,D851&lt;=1),208,IF(AND(L850="Mittellos und stationär",D851&gt;8,D851&lt;=1000),62,IF(AND(L850="Mittellos und stationär",D851&gt;4,D851&lt;=8),87,IF(AND(L850="Mittellos und stationär",D851&gt;2,D851&lt;=4),124,IF(AND(L850="Mittellos und stationär",D851&gt;1,D851&lt;=2),129,IF(AND(L850="Mittellos und stationär",D851&gt;0,D851&lt;=1),194,""))))))))))))))))))))),IF(M849="Stufe B",IF(AND(L850="Auswahl treffen",D851&gt;=0,D851&lt;=1000),J849,IF(AND(L850="Vermögend und ambulant",D851&gt;8,D851&lt;=1000),161,IF(AND(L850="Vermögend und ambulant",D851&gt;4,D851&lt;=8),196,IF(AND(L850="Vermögend und ambulant",D851&gt;2,D851&lt;=4),238,IF(AND(L850="Vermögend und ambulant",D851&gt;1,D851&lt;=2),258,IF(AND(L850="Vermögend und ambulant",D851&gt;0,D851&lt;=1),370,IF(AND(L850="Vermögend und stationär",D851&gt;8,D851&lt;=1000),96,IF(AND(L850="Vermögend und stationär",D851&gt;4,D851&lt;=8),113,IF(AND(L850="Vermögend und stationär",D851&gt;2,D851&lt;=4),174,IF(AND(L850="Vermögend und stationär",D851&gt;1,D851&lt;=2),196,IF(AND(L850="Vermögend und stationär",D851&gt;0,D851&lt;=1),249,IF(AND(L850="Mittellos und ambulant",D851&gt;8,D851&lt;=1000),130,IF(AND(L850="Mittellos und ambulant",D851&gt;4,D851&lt;=8),151,IF(AND(L850="Mittellos und ambulant",D851&gt;2,D851&lt;=4),188,IF(AND(L850="Mittellos und ambulant",D851&gt;1,D851&lt;=2),211,IF(AND(L850="Mittellos und ambulant",D851&gt;0,D851&lt;=1),258,IF(AND(L850="Mittellos und stationär",D851&gt;8,D851&lt;=1000),78,IF(AND(L850="Mittellos und stationär",D851&gt;4,D851&lt;=8),107,IF(AND(L850="Mittellos und stationär",D851&gt;2,D851&lt;=4),154,IF(AND(L850="Mittellos und stationär",D851&gt;1,D851&lt;=2),158,IF(AND(L850="Mittellos und stationär",D851&gt;0,D851&lt;=1),241,""))))))))))))))))))))),IF(M849="Stufe C",IF(AND(L850="Auswahl treffen",D851&gt;=0,D851&lt;=1000),J849,IF(AND(L850="Vermögend und ambulant",D851&gt;8,D851&lt;=1000),211,IF(AND(L850="Vermögend und ambulant",D851&gt;4,D851&lt;=8),257,IF(AND(L850="Vermögend und ambulant",D851&gt;2,D851&lt;=4),312,IF(AND(L850="Vermögend und ambulant",D851&gt;1,D851&lt;=2),339,IF(AND(L850="Vermögend und ambulant",D851&gt;0,D851&lt;=1),486,IF(AND(L850="Vermögend und stationär",D851&gt;8,D851&lt;=1000),127,IF(AND(L850="Vermögend und stationär",D851&gt;4,D851&lt;=8),149,IF(AND(L850="Vermögend und stationär",D851&gt;2,D851&lt;=4),229,IF(AND(L850="Vermögend und stationär",D851&gt;1,D851&lt;=2),257,IF(AND(L850="Vermögend und stationär",D851&gt;0,D851&lt;=1),327,IF(AND(L850="Mittellos und ambulant",D851&gt;8,D851&lt;=1000),171,IF(AND(L850="Mittellos und ambulant",D851&gt;4,D851&lt;=8),198,IF(AND(L850="Mittellos und ambulant",D851&gt;2,D851&lt;=4),246,IF(AND(L850="Mittellos und ambulant",D851&gt;1,D851&lt;=2),277,IF(AND(L850="Mittellos und ambulant",D851&gt;0,D851&lt;=1),339,IF(AND(L850="Mittellos und stationär",D851&gt;8,D851&lt;=1000),102,IF(AND(L850="Mittellos und stationär",D851&gt;4,D851&lt;=8),141,IF(AND(L850="Mittellos und stationär",D851&gt;2,D851&lt;=4),202,IF(AND(L850="Mittellos und stationär",D851&gt;1,D851&lt;=2),208,IF(AND(L850="Mittellos und stationär",D851&gt;0,D851&lt;=1),317,""))))))))))))))))))))),"")))*3+(J849*90)</f>
        <v>#NUM!</v>
      </c>
      <c r="M852" s="507" t="str">
        <f>CONCATENATE(K852, K851)</f>
        <v>+Inflat.-P</v>
      </c>
      <c r="N852" s="206" t="s">
        <v>118</v>
      </c>
      <c r="O852" s="207"/>
      <c r="P852" s="207"/>
      <c r="Q852" s="208"/>
      <c r="R852" s="187"/>
      <c r="S852" s="209" t="s">
        <v>118</v>
      </c>
      <c r="T852" s="201" t="s">
        <v>117</v>
      </c>
      <c r="U852" s="210" t="s">
        <v>26</v>
      </c>
      <c r="V852" s="192"/>
      <c r="W852" s="203"/>
      <c r="X852" s="203"/>
      <c r="Y852" s="210"/>
      <c r="Z852" s="192"/>
      <c r="AA852" s="203"/>
      <c r="AB852" s="203"/>
      <c r="AC852" s="210"/>
      <c r="AD852" s="192"/>
      <c r="AE852" s="203"/>
      <c r="AF852" s="203"/>
      <c r="AG852" s="210"/>
      <c r="AH852" s="193"/>
      <c r="AI852" s="203"/>
      <c r="AJ852" s="203"/>
      <c r="AK852" s="376"/>
      <c r="AL852" s="348" t="s">
        <v>148</v>
      </c>
      <c r="AM852" s="354">
        <f>IF(SUM(N850:N858)=SUM(S850:S858), 0, SUM(N850:N858)-SUM(S850:S858))</f>
        <v>0</v>
      </c>
      <c r="AN852" s="354"/>
      <c r="AO852" s="354"/>
      <c r="AP852" s="354"/>
      <c r="AQ852" s="350">
        <f>AM852+AN852+AO852+AP852</f>
        <v>0</v>
      </c>
      <c r="AR852" s="769"/>
      <c r="AS852" s="769"/>
      <c r="AT852" s="769"/>
      <c r="BM852" s="335"/>
    </row>
    <row r="853" spans="1:65" ht="22.25" customHeight="1">
      <c r="A853" s="181">
        <f t="shared" si="290"/>
        <v>45292</v>
      </c>
      <c r="B853" s="484" t="e">
        <f>MONTH(I850)</f>
        <v>#NUM!</v>
      </c>
      <c r="C853" s="489" t="s">
        <v>158</v>
      </c>
      <c r="D853" s="522" t="e">
        <f>D851+1</f>
        <v>#NUM!</v>
      </c>
      <c r="E853" s="211" t="e">
        <f>DATE(YEAR(E852),MONTH(E852),DAY(E852)+1)</f>
        <v>#NUM!</v>
      </c>
      <c r="F853" s="212" t="e">
        <f t="shared" si="295"/>
        <v>#NUM!</v>
      </c>
      <c r="G853" s="213" t="e">
        <f t="shared" si="296"/>
        <v>#NUM!</v>
      </c>
      <c r="H853" s="212" t="e">
        <f t="shared" si="297"/>
        <v>#NUM!</v>
      </c>
      <c r="I853" s="214" t="str">
        <f>IF(D850&lt;&gt;0,"-1T","")</f>
        <v/>
      </c>
      <c r="J853" s="215" t="e">
        <f>DATE($B855,I854,$B851)</f>
        <v>#NUM!</v>
      </c>
      <c r="K853" s="506" t="str">
        <f t="shared" si="294"/>
        <v/>
      </c>
      <c r="L853" s="470"/>
      <c r="M853" s="473" t="e">
        <f ca="1">SUM(J850-E854)&amp;" Tage"</f>
        <v>#NUM!</v>
      </c>
      <c r="N853" s="216"/>
      <c r="O853" s="217"/>
      <c r="P853" s="188"/>
      <c r="Q853" s="217"/>
      <c r="R853" s="189"/>
      <c r="S853" s="190"/>
      <c r="T853" s="190"/>
      <c r="U853" s="191"/>
      <c r="V853" s="192"/>
      <c r="W853" s="190"/>
      <c r="X853" s="190"/>
      <c r="Y853" s="191"/>
      <c r="Z853" s="192"/>
      <c r="AA853" s="190"/>
      <c r="AB853" s="190"/>
      <c r="AC853" s="191"/>
      <c r="AD853" s="192"/>
      <c r="AE853" s="190"/>
      <c r="AF853" s="190"/>
      <c r="AG853" s="191"/>
      <c r="AH853" s="193"/>
      <c r="AI853" s="190"/>
      <c r="AJ853" s="190"/>
      <c r="AK853" s="374"/>
      <c r="AL853" s="348"/>
      <c r="AM853" s="354"/>
      <c r="AN853" s="354"/>
      <c r="AO853" s="354"/>
      <c r="AP853" s="354"/>
      <c r="AQ853" s="350"/>
      <c r="AR853" s="769"/>
      <c r="AS853" s="769"/>
      <c r="AT853" s="769"/>
      <c r="BM853" s="335"/>
    </row>
    <row r="854" spans="1:65" ht="22.25" customHeight="1">
      <c r="A854" s="181">
        <f t="shared" si="290"/>
        <v>45292</v>
      </c>
      <c r="B854" s="485"/>
      <c r="C854" s="490"/>
      <c r="D854" s="521"/>
      <c r="E854" s="218" t="e">
        <f>DATE(YEAR(E853),MONTH(E853)+3,DAY(E853)-1)</f>
        <v>#NUM!</v>
      </c>
      <c r="F854" s="212" t="e">
        <f t="shared" si="295"/>
        <v>#NUM!</v>
      </c>
      <c r="G854" s="213" t="e">
        <f t="shared" si="296"/>
        <v>#NUM!</v>
      </c>
      <c r="H854" s="212" t="e">
        <f t="shared" si="297"/>
        <v>#NUM!</v>
      </c>
      <c r="I854" s="219">
        <f>MAX(I855:I858)</f>
        <v>9</v>
      </c>
      <c r="J854" s="220" t="e">
        <f>DATE(YEAR(J853)+1,MONTH(J853),DAY(J853))</f>
        <v>#NUM!</v>
      </c>
      <c r="K854" s="501" t="str">
        <f t="shared" si="294"/>
        <v>+Inflat.-P</v>
      </c>
      <c r="L854" s="508" t="e">
        <f>IF(M849="Stufe A",IF(AND(L850="Auswahl treffen",D853&gt;=0,D853&lt;=1000),J849,IF(AND(L850="Vermögend und ambulant",D853&gt;8,D853&lt;=1000),130,IF(AND(L850="Vermögend und ambulant",D853&gt;4,D853&lt;=8),158,IF(AND(L850="Vermögend und ambulant",D853&gt;2,D853&lt;=4),192,IF(AND(L850="Vermögend und ambulant",D853&gt;1,D853&lt;=2),208,IF(AND(L850="Vermögend und ambulant",D853&gt;0,D853&lt;=1),298,IF(AND(L850="Vermögend und stationär",D853&gt;8,D853&lt;=1000),78,IF(AND(L850="Vermögend und stationär",D853&gt;4,D853&lt;=8),91,IF(AND(L850="Vermögend und stationär",D853&gt;2,D853&lt;=4),140,IF(AND(L850="Vermögend und stationär",D853&gt;1,D853&lt;=2),158,IF(AND(L850="Vermögend und stationär",D853&gt;0,D853&lt;=1),200,IF(AND(L850="Mittellos und ambulant",D853&gt;8,D853&lt;=1000),105,IF(AND(L850="Mittellos und ambulant",D853&gt;4,D853&lt;=8),122,IF(AND(L850="Mittellos und ambulant",D853&gt;2,D853&lt;=4),151,IF(AND(L850="Mittellos und ambulant",D853&gt;1,D853&lt;=2),170,IF(AND(L850="Mittellos und ambulant",D853&gt;0,D853&lt;=1),208,IF(AND(L850="Mittellos und stationär",D853&gt;8,D853&lt;=1000),62,IF(AND(L850="Mittellos und stationär",D853&gt;4,D853&lt;=8),87,IF(AND(L850="Mittellos und stationär",D853&gt;2,D853&lt;=4),124,IF(AND(L850="Mittellos und stationär",D853&gt;1,D853&lt;=2),129,IF(AND(L850="Mittellos und stationär",D853&gt;0,D853&lt;=1),194,""))))))))))))))))))))),IF(M849="Stufe B",IF(AND(L850="Auswahl treffen",D853&gt;=0,D853&lt;=1000),J849,IF(AND(L850="Vermögend und ambulant",D853&gt;8,D853&lt;=1000),161,IF(AND(L850="Vermögend und ambulant",D853&gt;4,D853&lt;=8),196,IF(AND(L850="Vermögend und ambulant",D853&gt;2,D853&lt;=4),238,IF(AND(L850="Vermögend und ambulant",D853&gt;1,D853&lt;=2),258,IF(AND(L850="Vermögend und ambulant",D853&gt;0,D853&lt;=1),370,IF(AND(L850="Vermögend und stationär",D853&gt;8,D853&lt;=1000),96,IF(AND(L850="Vermögend und stationär",D853&gt;4,D853&lt;=8),113,IF(AND(L850="Vermögend und stationär",D853&gt;2,D853&lt;=4),174,IF(AND(L850="Vermögend und stationär",D853&gt;1,D853&lt;=2),196,IF(AND(L850="Vermögend und stationär",D853&gt;0,D853&lt;=1),249,IF(AND(L850="Mittellos und ambulant",D853&gt;8,D853&lt;=1000),130,IF(AND(L850="Mittellos und ambulant",D853&gt;4,D853&lt;=8),151,IF(AND(L850="Mittellos und ambulant",D853&gt;2,D853&lt;=4),188,IF(AND(L850="Mittellos und ambulant",D853&gt;1,D853&lt;=2),211,IF(AND(L850="Mittellos und ambulant",D853&gt;0,D853&lt;=1),258,IF(AND(L850="Mittellos und stationär",D853&gt;8,D853&lt;=1000),78,IF(AND(L850="Mittellos und stationär",D853&gt;4,D853&lt;=8),107,IF(AND(L850="Mittellos und stationär",D853&gt;2,D853&lt;=4),154,IF(AND(L850="Mittellos und stationär",D853&gt;1,D853&lt;=2),158,IF(AND(L850="Mittellos und stationär",D853&gt;0,D853&lt;=1),241,""))))))))))))))))))))),IF(M849="Stufe C",IF(AND(L850="Auswahl treffen",D853&gt;=0,D853&lt;=1000),J849,IF(AND(L850="Vermögend und ambulant",D853&gt;8,D853&lt;=1000),211,IF(AND(L850="Vermögend und ambulant",D853&gt;4,D853&lt;=8),257,IF(AND(L850="Vermögend und ambulant",D853&gt;2,D853&lt;=4),312,IF(AND(L850="Vermögend und ambulant",D853&gt;1,D853&lt;=2),339,IF(AND(L850="Vermögend und ambulant",D853&gt;0,D853&lt;=1),486,IF(AND(L850="Vermögend und stationär",D853&gt;8,D853&lt;=1000),127,IF(AND(L850="Vermögend und stationär",D853&gt;4,D853&lt;=8),149,IF(AND(L850="Vermögend und stationär",D853&gt;2,D853&lt;=4),229,IF(AND(L850="Vermögend und stationär",D853&gt;1,D853&lt;=2),257,IF(AND(L850="Vermögend und stationär",D853&gt;0,D853&lt;=1),327,IF(AND(L850="Mittellos und ambulant",D853&gt;8,D853&lt;=1000),171,IF(AND(L850="Mittellos und ambulant",D853&gt;4,D853&lt;=8),198,IF(AND(L850="Mittellos und ambulant",D853&gt;2,D853&lt;=4),246,IF(AND(L850="Mittellos und ambulant",D853&gt;1,D853&lt;=2),277,IF(AND(L850="Mittellos und ambulant",D853&gt;0,D853&lt;=1),339,IF(AND(L850="Mittellos und stationär",D853&gt;8,D853&lt;=1000),102,IF(AND(L850="Mittellos und stationär",D853&gt;4,D853&lt;=8),141,IF(AND(L850="Mittellos und stationär",D853&gt;2,D853&lt;=4),202,IF(AND(L850="Mittellos und stationär",D853&gt;1,D853&lt;=2),208,IF(AND(L850="Mittellos und stationär",D853&gt;0,D853&lt;=1),317,""))))))))))))))))))))),"")))*3+(J849*90)</f>
        <v>#NUM!</v>
      </c>
      <c r="M854" s="507" t="str">
        <f>CONCATENATE(K854, K853)</f>
        <v>+Inflat.-P</v>
      </c>
      <c r="N854" s="216"/>
      <c r="O854" s="188" t="s">
        <v>118</v>
      </c>
      <c r="P854" s="188"/>
      <c r="Q854" s="221"/>
      <c r="R854" s="199"/>
      <c r="S854" s="190"/>
      <c r="T854" s="190"/>
      <c r="U854" s="191"/>
      <c r="V854" s="192"/>
      <c r="W854" s="222" t="s">
        <v>118</v>
      </c>
      <c r="X854" s="222" t="s">
        <v>117</v>
      </c>
      <c r="Y854" s="191" t="s">
        <v>26</v>
      </c>
      <c r="Z854" s="192"/>
      <c r="AA854" s="190"/>
      <c r="AB854" s="190"/>
      <c r="AC854" s="191"/>
      <c r="AD854" s="192"/>
      <c r="AE854" s="190"/>
      <c r="AF854" s="190"/>
      <c r="AG854" s="191"/>
      <c r="AH854" s="193"/>
      <c r="AI854" s="190"/>
      <c r="AJ854" s="190"/>
      <c r="AK854" s="374"/>
      <c r="AL854" s="348" t="s">
        <v>149</v>
      </c>
      <c r="AM854" s="354"/>
      <c r="AN854" s="354">
        <f>IF(SUM(O850:O858)=SUM(W850:W858), 0, SUM(O850:O858)-SUM(W850:W858))</f>
        <v>0</v>
      </c>
      <c r="AO854" s="354"/>
      <c r="AP854" s="354"/>
      <c r="AQ854" s="350">
        <f>AM854+AN854+AO854+AP854</f>
        <v>0</v>
      </c>
      <c r="AR854" s="769"/>
      <c r="AS854" s="769"/>
      <c r="AT854" s="769"/>
      <c r="BM854" s="335"/>
    </row>
    <row r="855" spans="1:65" ht="22.25" customHeight="1">
      <c r="A855" s="181">
        <f t="shared" si="290"/>
        <v>45292</v>
      </c>
      <c r="B855" s="484">
        <f>YEAR($A856)-1</f>
        <v>2023</v>
      </c>
      <c r="C855" s="489" t="s">
        <v>158</v>
      </c>
      <c r="D855" s="520" t="e">
        <f>D853+1</f>
        <v>#NUM!</v>
      </c>
      <c r="E855" s="194" t="e">
        <f>DATE(YEAR(E854),MONTH(E854),DAY(E854)+1)</f>
        <v>#NUM!</v>
      </c>
      <c r="F855" s="195" t="e">
        <f t="shared" si="295"/>
        <v>#NUM!</v>
      </c>
      <c r="G855" s="196" t="e">
        <f t="shared" si="296"/>
        <v>#NUM!</v>
      </c>
      <c r="H855" s="195" t="e">
        <f t="shared" si="297"/>
        <v>#NUM!</v>
      </c>
      <c r="I855" s="197">
        <f>IF(J857&lt;13,J857,"")</f>
        <v>9</v>
      </c>
      <c r="J855" s="224">
        <f>G850</f>
        <v>0</v>
      </c>
      <c r="K855" s="506" t="str">
        <f t="shared" si="294"/>
        <v/>
      </c>
      <c r="L855" s="471"/>
      <c r="M855" s="473" t="e">
        <f ca="1">SUM(J850-E856)&amp;" Tage"</f>
        <v>#NUM!</v>
      </c>
      <c r="N855" s="200"/>
      <c r="O855" s="201"/>
      <c r="P855" s="201"/>
      <c r="Q855" s="202"/>
      <c r="R855" s="189"/>
      <c r="S855" s="203"/>
      <c r="T855" s="203"/>
      <c r="U855" s="204"/>
      <c r="V855" s="192"/>
      <c r="W855" s="203"/>
      <c r="X855" s="203"/>
      <c r="Y855" s="204"/>
      <c r="Z855" s="192"/>
      <c r="AA855" s="203"/>
      <c r="AB855" s="203"/>
      <c r="AC855" s="204"/>
      <c r="AD855" s="192"/>
      <c r="AE855" s="203"/>
      <c r="AF855" s="203"/>
      <c r="AG855" s="204"/>
      <c r="AH855" s="193"/>
      <c r="AI855" s="203"/>
      <c r="AJ855" s="203"/>
      <c r="AK855" s="375"/>
      <c r="AL855" s="348"/>
      <c r="AM855" s="354"/>
      <c r="AN855" s="354"/>
      <c r="AO855" s="354"/>
      <c r="AP855" s="354"/>
      <c r="AQ855" s="350"/>
      <c r="AR855" s="769"/>
      <c r="AS855" s="769"/>
      <c r="AT855" s="769"/>
      <c r="BM855" s="335"/>
    </row>
    <row r="856" spans="1:65" ht="22.25" customHeight="1">
      <c r="A856" s="181">
        <f t="shared" si="290"/>
        <v>45292</v>
      </c>
      <c r="B856" s="485"/>
      <c r="C856" s="490"/>
      <c r="D856" s="521"/>
      <c r="E856" s="194" t="e">
        <f>DATE(YEAR(E855),MONTH(E855)+3,DAY(E855)-1)</f>
        <v>#NUM!</v>
      </c>
      <c r="F856" s="195" t="e">
        <f t="shared" si="295"/>
        <v>#NUM!</v>
      </c>
      <c r="G856" s="196" t="e">
        <f t="shared" si="296"/>
        <v>#NUM!</v>
      </c>
      <c r="H856" s="195" t="e">
        <f t="shared" si="297"/>
        <v>#NUM!</v>
      </c>
      <c r="I856" s="244">
        <f>IF(J858&lt;13,J858,"")</f>
        <v>6</v>
      </c>
      <c r="J856" s="224">
        <f>J855+3</f>
        <v>3</v>
      </c>
      <c r="K856" s="501" t="str">
        <f t="shared" si="294"/>
        <v>+Inflat.-P</v>
      </c>
      <c r="L856" s="511" t="e">
        <f>IF(M849="Stufe A",IF(AND(L850="Auswahl treffen",D855&gt;=0,D855&lt;=1000),J849,IF(AND(L850="Vermögend und ambulant",D855&gt;8,D855&lt;=1000),130,IF(AND(L850="Vermögend und ambulant",D855&gt;4,D855&lt;=8),158,IF(AND(L850="Vermögend und ambulant",D855&gt;2,D855&lt;=4),192,IF(AND(L850="Vermögend und ambulant",D855&gt;1,D855&lt;=2),208,IF(AND(L850="Vermögend und ambulant",D855&gt;0,D855&lt;=1),298,IF(AND(L850="Vermögend und stationär",D855&gt;8,D855&lt;=1000),78,IF(AND(L850="Vermögend und stationär",D855&gt;4,D855&lt;=8),91,IF(AND(L850="Vermögend und stationär",D855&gt;2,D855&lt;=4),140,IF(AND(L850="Vermögend und stationär",D855&gt;1,D855&lt;=2),158,IF(AND(L850="Vermögend und stationär",D855&gt;0,D855&lt;=1),200,IF(AND(L850="Mittellos und ambulant",D855&gt;8,D855&lt;=1000),105,IF(AND(L850="Mittellos und ambulant",D855&gt;4,D855&lt;=8),122,IF(AND(L850="Mittellos und ambulant",D855&gt;2,D855&lt;=4),151,IF(AND(L850="Mittellos und ambulant",D855&gt;1,D855&lt;=2),170,IF(AND(L850="Mittellos und ambulant",D855&gt;0,D855&lt;=1),208,IF(AND(L850="Mittellos und stationär",D855&gt;8,D855&lt;=1000),62,IF(AND(L850="Mittellos und stationär",D855&gt;4,D855&lt;=8),87,IF(AND(L850="Mittellos und stationär",D855&gt;2,D855&lt;=4),124,IF(AND(L850="Mittellos und stationär",D855&gt;1,D855&lt;=2),129,IF(AND(L850="Mittellos und stationär",D855&gt;0,D855&lt;=1),194,""))))))))))))))))))))),IF(M849="Stufe B",IF(AND(L850="Auswahl treffen",D855&gt;=0,D855&lt;=1000),J849,IF(AND(L850="Vermögend und ambulant",D855&gt;8,D855&lt;=1000),161,IF(AND(L850="Vermögend und ambulant",D855&gt;4,D855&lt;=8),196,IF(AND(L850="Vermögend und ambulant",D855&gt;2,D855&lt;=4),238,IF(AND(L850="Vermögend und ambulant",D855&gt;1,D855&lt;=2),258,IF(AND(L850="Vermögend und ambulant",D855&gt;0,D855&lt;=1),370,IF(AND(L850="Vermögend und stationär",D855&gt;8,D855&lt;=1000),96,IF(AND(L850="Vermögend und stationär",D855&gt;4,D855&lt;=8),113,IF(AND(L850="Vermögend und stationär",D855&gt;2,D855&lt;=4),174,IF(AND(L850="Vermögend und stationär",D855&gt;1,D855&lt;=2),196,IF(AND(L850="Vermögend und stationär",D855&gt;0,D855&lt;=1),249,IF(AND(L850="Mittellos und ambulant",D855&gt;8,D855&lt;=1000),130,IF(AND(L850="Mittellos und ambulant",D855&gt;4,D855&lt;=8),151,IF(AND(L850="Mittellos und ambulant",D855&gt;2,D855&lt;=4),188,IF(AND(L850="Mittellos und ambulant",D855&gt;1,D855&lt;=2),211,IF(AND(L850="Mittellos und ambulant",D855&gt;0,D855&lt;=1),258,IF(AND(L850="Mittellos und stationär",D855&gt;8,D855&lt;=1000),78,IF(AND(L850="Mittellos und stationär",D855&gt;4,D855&lt;=8),107,IF(AND(L850="Mittellos und stationär",D855&gt;2,D855&lt;=4),154,IF(AND(L850="Mittellos und stationär",D855&gt;1,D855&lt;=2),158,IF(AND(L850="Mittellos und stationär",D855&gt;0,D855&lt;=1),241,""))))))))))))))))))))),IF(M849="Stufe C",IF(AND(L850="Auswahl treffen",D855&gt;=0,D855&lt;=1000),J849,IF(AND(L850="Vermögend und ambulant",D855&gt;8,D855&lt;=1000),211,IF(AND(L850="Vermögend und ambulant",D855&gt;4,D855&lt;=8),257,IF(AND(L850="Vermögend und ambulant",D855&gt;2,D855&lt;=4),312,IF(AND(L850="Vermögend und ambulant",D855&gt;1,D855&lt;=2),339,IF(AND(L850="Vermögend und ambulant",D855&gt;0,D855&lt;=1),486,IF(AND(L850="Vermögend und stationär",D855&gt;8,D855&lt;=1000),127,IF(AND(L850="Vermögend und stationär",D855&gt;4,D855&lt;=8),149,IF(AND(L850="Vermögend und stationär",D855&gt;2,D855&lt;=4),229,IF(AND(L850="Vermögend und stationär",D855&gt;1,D855&lt;=2),257,IF(AND(L850="Vermögend und stationär",D855&gt;0,D855&lt;=1),327,IF(AND(L850="Mittellos und ambulant",D855&gt;8,D855&lt;=1000),171,IF(AND(L850="Mittellos und ambulant",D855&gt;4,D855&lt;=8),198,IF(AND(L850="Mittellos und ambulant",D855&gt;2,D855&lt;=4),246,IF(AND(L850="Mittellos und ambulant",D855&gt;1,D855&lt;=2),277,IF(AND(L850="Mittellos und ambulant",D855&gt;0,D855&lt;=1),339,IF(AND(L850="Mittellos und stationär",D855&gt;8,D855&lt;=1000),102,IF(AND(L850="Mittellos und stationär",D855&gt;4,D855&lt;=8),141,IF(AND(L850="Mittellos und stationär",D855&gt;2,D855&lt;=4),202,IF(AND(L850="Mittellos und stationär",D855&gt;1,D855&lt;=2),208,IF(AND(L850="Mittellos und stationär",D855&gt;0,D855&lt;=1),317,""))))))))))))))))))))),"")))*3+(J849*90)</f>
        <v>#NUM!</v>
      </c>
      <c r="M856" s="507" t="str">
        <f>CONCATENATE(K856, K855)</f>
        <v>+Inflat.-P</v>
      </c>
      <c r="N856" s="206"/>
      <c r="O856" s="207"/>
      <c r="P856" s="206" t="s">
        <v>118</v>
      </c>
      <c r="Q856" s="226"/>
      <c r="R856" s="189"/>
      <c r="S856" s="203"/>
      <c r="T856" s="203"/>
      <c r="U856" s="204"/>
      <c r="V856" s="192"/>
      <c r="W856" s="203"/>
      <c r="X856" s="203"/>
      <c r="Y856" s="204"/>
      <c r="Z856" s="192"/>
      <c r="AA856" s="209" t="s">
        <v>118</v>
      </c>
      <c r="AB856" s="209" t="s">
        <v>117</v>
      </c>
      <c r="AC856" s="204" t="s">
        <v>26</v>
      </c>
      <c r="AD856" s="192"/>
      <c r="AE856" s="203"/>
      <c r="AF856" s="203"/>
      <c r="AG856" s="204"/>
      <c r="AH856" s="193"/>
      <c r="AI856" s="203"/>
      <c r="AJ856" s="203"/>
      <c r="AK856" s="375"/>
      <c r="AL856" s="348" t="s">
        <v>150</v>
      </c>
      <c r="AM856" s="354"/>
      <c r="AN856" s="354"/>
      <c r="AO856" s="354">
        <f>IF(SUM(P850:P858)=SUM(AA850:AA858), 0, SUM(P850:P858)-SUM(AA850:AA858))</f>
        <v>0</v>
      </c>
      <c r="AP856" s="354"/>
      <c r="AQ856" s="350">
        <f>AM856+AN856+AO856+AP856</f>
        <v>0</v>
      </c>
      <c r="AR856" s="769"/>
      <c r="AS856" s="769"/>
      <c r="AT856" s="769"/>
      <c r="BM856" s="335"/>
    </row>
    <row r="857" spans="1:65" ht="22.25" customHeight="1">
      <c r="A857" s="181">
        <f t="shared" si="290"/>
        <v>45292</v>
      </c>
      <c r="B857" s="486"/>
      <c r="C857" s="489" t="s">
        <v>158</v>
      </c>
      <c r="D857" s="522" t="e">
        <f>D855+1</f>
        <v>#NUM!</v>
      </c>
      <c r="E857" s="211" t="e">
        <f>DATE(YEAR(E856),MONTH(E856),DAY(E856)+1)</f>
        <v>#NUM!</v>
      </c>
      <c r="F857" s="227" t="e">
        <f t="shared" si="295"/>
        <v>#NUM!</v>
      </c>
      <c r="G857" s="228" t="e">
        <f t="shared" si="296"/>
        <v>#NUM!</v>
      </c>
      <c r="H857" s="227" t="e">
        <f t="shared" si="297"/>
        <v>#NUM!</v>
      </c>
      <c r="I857" s="231">
        <f>IF(J856&lt;13,J856,"")</f>
        <v>3</v>
      </c>
      <c r="J857" s="230">
        <f>J858+3</f>
        <v>9</v>
      </c>
      <c r="K857" s="506" t="str">
        <f t="shared" si="294"/>
        <v/>
      </c>
      <c r="L857" s="471"/>
      <c r="M857" s="473" t="e">
        <f ca="1">SUM(J850-E858)&amp;" Tage"</f>
        <v>#NUM!</v>
      </c>
      <c r="N857" s="216"/>
      <c r="O857" s="188"/>
      <c r="P857" s="188"/>
      <c r="Q857" s="217"/>
      <c r="R857" s="189"/>
      <c r="S857" s="190"/>
      <c r="T857" s="190"/>
      <c r="U857" s="191"/>
      <c r="V857" s="192"/>
      <c r="W857" s="190"/>
      <c r="X857" s="190"/>
      <c r="Y857" s="191"/>
      <c r="Z857" s="192"/>
      <c r="AA857" s="190"/>
      <c r="AB857" s="190"/>
      <c r="AC857" s="191"/>
      <c r="AD857" s="192"/>
      <c r="AE857" s="190"/>
      <c r="AF857" s="190"/>
      <c r="AG857" s="191"/>
      <c r="AH857" s="193"/>
      <c r="AI857" s="190"/>
      <c r="AJ857" s="190"/>
      <c r="AK857" s="374"/>
      <c r="AL857" s="348"/>
      <c r="AM857" s="354"/>
      <c r="AN857" s="354"/>
      <c r="AO857" s="354"/>
      <c r="AP857" s="354"/>
      <c r="AQ857" s="350"/>
      <c r="AR857" s="769"/>
      <c r="AS857" s="769"/>
      <c r="AT857" s="769"/>
      <c r="BM857" s="335"/>
    </row>
    <row r="858" spans="1:65" ht="22.25" customHeight="1">
      <c r="A858" s="181">
        <f t="shared" si="290"/>
        <v>45292</v>
      </c>
      <c r="B858" s="485"/>
      <c r="C858" s="490"/>
      <c r="D858" s="521"/>
      <c r="E858" s="218" t="e">
        <f>DATE(YEAR(E857),MONTH(E857)+3,DAY(E857)-1)</f>
        <v>#NUM!</v>
      </c>
      <c r="F858" s="227" t="e">
        <f t="shared" si="295"/>
        <v>#NUM!</v>
      </c>
      <c r="G858" s="228" t="e">
        <f t="shared" si="296"/>
        <v>#NUM!</v>
      </c>
      <c r="H858" s="227" t="e">
        <f t="shared" si="297"/>
        <v>#NUM!</v>
      </c>
      <c r="I858" s="231">
        <f>IF(J855&lt;13,J855,"")</f>
        <v>0</v>
      </c>
      <c r="J858" s="230">
        <f>J856+3</f>
        <v>6</v>
      </c>
      <c r="K858" s="501" t="str">
        <f t="shared" si="294"/>
        <v>+Inflat.-P</v>
      </c>
      <c r="L858" s="508" t="e">
        <f>IF(M849="Stufe A",IF(AND(L850="Auswahl treffen",D857&gt;=0,D857&lt;=1000),J849,IF(AND(L850="Vermögend und ambulant",D857&gt;8,D857&lt;=1000),130,IF(AND(L850="Vermögend und ambulant",D857&gt;4,D857&lt;=8),158,IF(AND(L850="Vermögend und ambulant",D857&gt;2,D857&lt;=4),192,IF(AND(L850="Vermögend und ambulant",D857&gt;1,D857&lt;=2),208,IF(AND(L850="Vermögend und ambulant",D857&gt;0,D857&lt;=1),298,IF(AND(L850="Vermögend und stationär",D857&gt;8,D857&lt;=1000),78,IF(AND(L850="Vermögend und stationär",D857&gt;4,D857&lt;=8),91,IF(AND(L850="Vermögend und stationär",D857&gt;2,D857&lt;=4),140,IF(AND(L850="Vermögend und stationär",D857&gt;1,D857&lt;=2),158,IF(AND(L850="Vermögend und stationär",D857&gt;0,D857&lt;=1),200,IF(AND(L850="Mittellos und ambulant",D857&gt;8,D857&lt;=1000),105,IF(AND(L850="Mittellos und ambulant",D857&gt;4,D857&lt;=8),122,IF(AND(L850="Mittellos und ambulant",D857&gt;2,D857&lt;=4),151,IF(AND(L850="Mittellos und ambulant",D857&gt;1,D857&lt;=2),170,IF(AND(L850="Mittellos und ambulant",D857&gt;0,D857&lt;=1),208,IF(AND(L850="Mittellos und stationär",D857&gt;8,D857&lt;=1000),62,IF(AND(L850="Mittellos und stationär",D857&gt;4,D857&lt;=8),87,IF(AND(L850="Mittellos und stationär",D857&gt;2,D857&lt;=4),124,IF(AND(L850="Mittellos und stationär",D857&gt;1,D857&lt;=2),129,IF(AND(L850="Mittellos und stationär",D857&gt;0,D857&lt;=1),194,""))))))))))))))))))))),IF(M849="Stufe B",IF(AND(L850="Auswahl treffen",D857&gt;=0,D857&lt;=1000),J849,IF(AND(L850="Vermögend und ambulant",D857&gt;8,D857&lt;=1000),161,IF(AND(L850="Vermögend und ambulant",D857&gt;4,D857&lt;=8),196,IF(AND(L850="Vermögend und ambulant",D857&gt;2,D857&lt;=4),238,IF(AND(L850="Vermögend und ambulant",D857&gt;1,D857&lt;=2),258,IF(AND(L850="Vermögend und ambulant",D857&gt;0,D857&lt;=1),370,IF(AND(L850="Vermögend und stationär",D857&gt;8,D857&lt;=1000),96,IF(AND(L850="Vermögend und stationär",D857&gt;4,D857&lt;=8),113,IF(AND(L850="Vermögend und stationär",D857&gt;2,D857&lt;=4),174,IF(AND(L850="Vermögend und stationär",D857&gt;1,D857&lt;=2),196,IF(AND(L850="Vermögend und stationär",D857&gt;0,D857&lt;=1),249,IF(AND(L850="Mittellos und ambulant",D857&gt;8,D857&lt;=1000),130,IF(AND(L850="Mittellos und ambulant",D857&gt;4,D857&lt;=8),151,IF(AND(L850="Mittellos und ambulant",D857&gt;2,D857&lt;=4),188,IF(AND(L850="Mittellos und ambulant",D857&gt;1,D857&lt;=2),211,IF(AND(L850="Mittellos und ambulant",D857&gt;0,D857&lt;=1),258,IF(AND(L850="Mittellos und stationär",D857&gt;8,D857&lt;=1000),78,IF(AND(L850="Mittellos und stationär",D857&gt;4,D857&lt;=8),107,IF(AND(L850="Mittellos und stationär",D857&gt;2,D857&lt;=4),154,IF(AND(L850="Mittellos und stationär",D857&gt;1,D857&lt;=2),158,IF(AND(L850="Mittellos und stationär",D857&gt;0,D857&lt;=1),241,""))))))))))))))))))))),IF(M849="Stufe C",IF(AND(L850="Auswahl treffen",D857&gt;=0,D857&lt;=1000),J849,IF(AND(L850="Vermögend und ambulant",D857&gt;8,D857&lt;=1000),211,IF(AND(L850="Vermögend und ambulant",D857&gt;4,D857&lt;=8),257,IF(AND(L850="Vermögend und ambulant",D857&gt;2,D857&lt;=4),312,IF(AND(L850="Vermögend und ambulant",D857&gt;1,D857&lt;=2),339,IF(AND(L850="Vermögend und ambulant",D857&gt;0,D857&lt;=1),486,IF(AND(L850="Vermögend und stationär",D857&gt;8,D857&lt;=1000),127,IF(AND(L850="Vermögend und stationär",D857&gt;4,D857&lt;=8),149,IF(AND(L850="Vermögend und stationär",D857&gt;2,D857&lt;=4),229,IF(AND(L850="Vermögend und stationär",D857&gt;1,D857&lt;=2),257,IF(AND(L850="Vermögend und stationär",D857&gt;0,D857&lt;=1),327,IF(AND(L850="Mittellos und ambulant",D857&gt;8,D857&lt;=1000),171,IF(AND(L850="Mittellos und ambulant",D857&gt;4,D857&lt;=8),198,IF(AND(L850="Mittellos und ambulant",D857&gt;2,D857&lt;=4),246,IF(AND(L850="Mittellos und ambulant",D857&gt;1,D857&lt;=2),277,IF(AND(L850="Mittellos und ambulant",D857&gt;0,D857&lt;=1),339,IF(AND(L850="Mittellos und stationär",D857&gt;8,D857&lt;=1000),102,IF(AND(L850="Mittellos und stationär",D857&gt;4,D857&lt;=8),141,IF(AND(L850="Mittellos und stationär",D857&gt;2,D857&lt;=4),202,IF(AND(L850="Mittellos und stationär",D857&gt;1,D857&lt;=2),208,IF(AND(L850="Mittellos und stationär",D857&gt;0,D857&lt;=1),317,""))))))))))))))))))))),"")))*3+(J849*90)</f>
        <v>#NUM!</v>
      </c>
      <c r="M858" s="507" t="str">
        <f>CONCATENATE(K858, K857)</f>
        <v>+Inflat.-P</v>
      </c>
      <c r="N858" s="216"/>
      <c r="O858" s="188"/>
      <c r="P858" s="188"/>
      <c r="Q858" s="217" t="s">
        <v>118</v>
      </c>
      <c r="R858" s="189"/>
      <c r="S858" s="190"/>
      <c r="T858" s="190"/>
      <c r="U858" s="191"/>
      <c r="V858" s="192"/>
      <c r="W858" s="190"/>
      <c r="X858" s="190"/>
      <c r="Y858" s="191"/>
      <c r="Z858" s="192"/>
      <c r="AA858" s="190"/>
      <c r="AB858" s="190"/>
      <c r="AC858" s="191"/>
      <c r="AD858" s="192"/>
      <c r="AE858" s="190" t="s">
        <v>118</v>
      </c>
      <c r="AF858" s="190" t="s">
        <v>117</v>
      </c>
      <c r="AG858" s="191" t="s">
        <v>26</v>
      </c>
      <c r="AH858" s="193"/>
      <c r="AI858" s="190" t="s">
        <v>118</v>
      </c>
      <c r="AJ858" s="190" t="s">
        <v>117</v>
      </c>
      <c r="AK858" s="374" t="s">
        <v>26</v>
      </c>
      <c r="AL858" s="348" t="s">
        <v>151</v>
      </c>
      <c r="AM858" s="354"/>
      <c r="AN858" s="354"/>
      <c r="AO858" s="354"/>
      <c r="AP858" s="354">
        <f>IF(SUM(Q850:Q858)=SUM(AE850:AE858,AI850:AI858), 0, SUM(Q850:Q858)-SUM(AE850:AE858,AI850:AI858))</f>
        <v>0</v>
      </c>
      <c r="AQ858" s="350">
        <f>AM858+AN858+AO858+AP858</f>
        <v>0</v>
      </c>
      <c r="AR858" s="769"/>
      <c r="AS858" s="769"/>
      <c r="AT858" s="769"/>
      <c r="BM858" s="335"/>
    </row>
    <row r="859" spans="1:65" ht="22" customHeight="1">
      <c r="A859" s="181">
        <f t="shared" si="290"/>
        <v>45292</v>
      </c>
      <c r="B859" s="232" t="s">
        <v>74</v>
      </c>
      <c r="C859" s="233" t="s">
        <v>75</v>
      </c>
      <c r="D859" s="234" t="s">
        <v>76</v>
      </c>
      <c r="E859" s="235" t="s">
        <v>11</v>
      </c>
      <c r="F859" s="235" t="s">
        <v>4</v>
      </c>
      <c r="G859" s="235" t="s">
        <v>5</v>
      </c>
      <c r="H859" s="235" t="s">
        <v>6</v>
      </c>
      <c r="I859" s="236" t="s">
        <v>77</v>
      </c>
      <c r="J859" s="306"/>
      <c r="K859" s="501" t="str">
        <f t="shared" si="294"/>
        <v/>
      </c>
      <c r="L859" s="306" t="str">
        <f>IFERROR(VLOOKUP(B860,'Aktuelle Einnahmen'!A2:J104,10,0),"")</f>
        <v/>
      </c>
      <c r="M859" s="510" t="str">
        <f>M849</f>
        <v>Stufe C</v>
      </c>
      <c r="N859" s="237"/>
      <c r="O859" s="238"/>
      <c r="P859" s="238"/>
      <c r="Q859" s="239"/>
      <c r="R859" s="240"/>
      <c r="S859" s="241"/>
      <c r="T859" s="241"/>
      <c r="U859" s="242"/>
      <c r="V859" s="243"/>
      <c r="W859" s="241"/>
      <c r="X859" s="241"/>
      <c r="Y859" s="242"/>
      <c r="Z859" s="243"/>
      <c r="AA859" s="241"/>
      <c r="AB859" s="241"/>
      <c r="AC859" s="242"/>
      <c r="AD859" s="243"/>
      <c r="AE859" s="241"/>
      <c r="AF859" s="241"/>
      <c r="AG859" s="242"/>
      <c r="AH859" s="240"/>
      <c r="AI859" s="241"/>
      <c r="AJ859" s="241"/>
      <c r="AK859" s="377"/>
      <c r="AL859" s="347"/>
      <c r="AM859" s="353"/>
      <c r="AN859" s="353"/>
      <c r="AO859" s="353"/>
      <c r="AP859" s="353"/>
      <c r="AQ859" s="349"/>
      <c r="AR859" s="768"/>
      <c r="AS859" s="768"/>
      <c r="AT859" s="768"/>
      <c r="BM859" s="335"/>
    </row>
    <row r="860" spans="1:65" ht="23" customHeight="1">
      <c r="A860" s="181">
        <f t="shared" si="290"/>
        <v>45292</v>
      </c>
      <c r="B860" s="182">
        <v>86</v>
      </c>
      <c r="C860" s="245">
        <f>IFERROR(VLOOKUP($B860,'Aktuelle Einnahmen'!A2:G104,3,0),"")</f>
        <v>0</v>
      </c>
      <c r="D860" s="246">
        <f>IFERROR(VLOOKUP($B860,'Aktuelle Einnahmen'!A2:G104,2,0),"")</f>
        <v>0</v>
      </c>
      <c r="E860" s="247">
        <f>IFERROR(VLOOKUP($B860,'Aktuelle Einnahmen'!A2:G104,4,0),"")</f>
        <v>0</v>
      </c>
      <c r="F860" s="94">
        <f>IFERROR(VLOOKUP($B860,'Aktuelle Einnahmen'!A2:G104,5,0),"")</f>
        <v>0</v>
      </c>
      <c r="G860" s="94">
        <f>IFERROR(VLOOKUP($B860,'Aktuelle Einnahmen'!A2:G104,6,0),"")</f>
        <v>0</v>
      </c>
      <c r="H860" s="94">
        <f>IFERROR(VLOOKUP($B860,'Aktuelle Einnahmen'!A2:G104,7,0),"")</f>
        <v>0</v>
      </c>
      <c r="I860" s="186" t="e">
        <f>DATE(H860,G860,F860)</f>
        <v>#NUM!</v>
      </c>
      <c r="J860" s="472">
        <f ca="1">J850</f>
        <v>45475</v>
      </c>
      <c r="K860" s="506" t="str">
        <f t="shared" si="294"/>
        <v>+Inflat.-P</v>
      </c>
      <c r="L860" s="1262" t="str">
        <f>IFERROR(VLOOKUP(B860,'Aktuelle Einnahmen'!A22:I124,9,0),"")</f>
        <v>Auswahl treffen</v>
      </c>
      <c r="M860" s="1263"/>
      <c r="N860" s="261"/>
      <c r="O860" s="261"/>
      <c r="P860" s="261"/>
      <c r="Q860" s="261"/>
      <c r="R860" s="189"/>
      <c r="S860" s="190"/>
      <c r="T860" s="190"/>
      <c r="U860" s="191"/>
      <c r="V860" s="192"/>
      <c r="W860" s="190"/>
      <c r="X860" s="190"/>
      <c r="Y860" s="191"/>
      <c r="Z860" s="192"/>
      <c r="AA860" s="190"/>
      <c r="AB860" s="190"/>
      <c r="AC860" s="191"/>
      <c r="AD860" s="192"/>
      <c r="AE860" s="190"/>
      <c r="AF860" s="190"/>
      <c r="AG860" s="191"/>
      <c r="AH860" s="193"/>
      <c r="AI860" s="190"/>
      <c r="AJ860" s="190"/>
      <c r="AK860" s="374"/>
      <c r="AL860" s="348"/>
      <c r="AM860" s="354"/>
      <c r="AN860" s="354"/>
      <c r="AO860" s="354"/>
      <c r="AP860" s="354"/>
      <c r="AQ860" s="350"/>
      <c r="AR860" s="769"/>
      <c r="AS860" s="769"/>
      <c r="AT860" s="769"/>
      <c r="BM860" s="335"/>
    </row>
    <row r="861" spans="1:65" ht="22.25" customHeight="1">
      <c r="A861" s="181">
        <f t="shared" si="290"/>
        <v>45292</v>
      </c>
      <c r="B861" s="484" t="e">
        <f>DAY(I860)</f>
        <v>#NUM!</v>
      </c>
      <c r="C861" s="489" t="s">
        <v>158</v>
      </c>
      <c r="D861" s="520" t="e">
        <f>(I861*4)+J861/3+1</f>
        <v>#NUM!</v>
      </c>
      <c r="E861" s="194" t="e">
        <f>J863+1</f>
        <v>#NUM!</v>
      </c>
      <c r="F861" s="195" t="e">
        <f t="shared" ref="F861:F868" si="298">DAY(E861)</f>
        <v>#NUM!</v>
      </c>
      <c r="G861" s="196" t="e">
        <f t="shared" ref="G861:G868" si="299">MONTH(E861)</f>
        <v>#NUM!</v>
      </c>
      <c r="H861" s="195" t="e">
        <f t="shared" ref="H861:H868" si="300">YEAR(E861)</f>
        <v>#NUM!</v>
      </c>
      <c r="I861" s="197" t="e">
        <f>H861-(H860+2000)</f>
        <v>#NUM!</v>
      </c>
      <c r="J861" s="198" t="e">
        <f>G861-G860</f>
        <v>#NUM!</v>
      </c>
      <c r="K861" s="506" t="str">
        <f>L859</f>
        <v/>
      </c>
      <c r="L861" s="469"/>
      <c r="M861" s="473" t="e">
        <f ca="1">SUM(J860-E862)&amp;" Tage"</f>
        <v>#NUM!</v>
      </c>
      <c r="N861" s="206"/>
      <c r="O861" s="201"/>
      <c r="P861" s="201"/>
      <c r="Q861" s="202"/>
      <c r="R861" s="189"/>
      <c r="S861" s="203"/>
      <c r="T861" s="203"/>
      <c r="U861" s="204"/>
      <c r="V861" s="192"/>
      <c r="W861" s="203"/>
      <c r="X861" s="203"/>
      <c r="Y861" s="204"/>
      <c r="Z861" s="192"/>
      <c r="AA861" s="203"/>
      <c r="AB861" s="203"/>
      <c r="AC861" s="204"/>
      <c r="AD861" s="192"/>
      <c r="AE861" s="203"/>
      <c r="AF861" s="203"/>
      <c r="AG861" s="204"/>
      <c r="AH861" s="193"/>
      <c r="AI861" s="203"/>
      <c r="AJ861" s="203"/>
      <c r="AK861" s="375"/>
      <c r="AL861" s="348"/>
      <c r="AM861" s="354"/>
      <c r="AN861" s="354"/>
      <c r="AO861" s="354"/>
      <c r="AP861" s="354"/>
      <c r="AQ861" s="350"/>
      <c r="AR861" s="769"/>
      <c r="AS861" s="769"/>
      <c r="AT861" s="769"/>
      <c r="BM861" s="335"/>
    </row>
    <row r="862" spans="1:65" ht="22.25" customHeight="1">
      <c r="A862" s="181">
        <f t="shared" si="290"/>
        <v>45292</v>
      </c>
      <c r="B862" s="485"/>
      <c r="C862" s="490"/>
      <c r="D862" s="521"/>
      <c r="E862" s="194" t="e">
        <f>DATE(YEAR(E861),MONTH(E861)+3,DAY(E861)-1)</f>
        <v>#NUM!</v>
      </c>
      <c r="F862" s="195" t="e">
        <f t="shared" si="298"/>
        <v>#NUM!</v>
      </c>
      <c r="G862" s="196" t="e">
        <f t="shared" si="299"/>
        <v>#NUM!</v>
      </c>
      <c r="H862" s="195" t="e">
        <f t="shared" si="300"/>
        <v>#NUM!</v>
      </c>
      <c r="I862" s="244">
        <v>-1</v>
      </c>
      <c r="J862" s="198" t="e">
        <f>F861-F860</f>
        <v>#NUM!</v>
      </c>
      <c r="K862" s="506" t="str">
        <f t="shared" si="294"/>
        <v>+Inflat.-P</v>
      </c>
      <c r="L862" s="511" t="e">
        <f>IF(M859="Stufe A",IF(AND(L860="Auswahl treffen",D861&gt;=0,D861&lt;=1000),J859,IF(AND(L860="Vermögend und ambulant",D861&gt;8,D861&lt;=1000),130,IF(AND(L860="Vermögend und ambulant",D861&gt;4,D861&lt;=8),158,IF(AND(L860="Vermögend und ambulant",D861&gt;2,D861&lt;=4),192,IF(AND(L860="Vermögend und ambulant",D861&gt;1,D861&lt;=2),208,IF(AND(L860="Vermögend und ambulant",D861&gt;0,D861&lt;=1),298,IF(AND(L860="Vermögend und stationär",D861&gt;8,D861&lt;=1000),78,IF(AND(L860="Vermögend und stationär",D861&gt;4,D861&lt;=8),91,IF(AND(L860="Vermögend und stationär",D861&gt;2,D861&lt;=4),140,IF(AND(L860="Vermögend und stationär",D861&gt;1,D861&lt;=2),158,IF(AND(L860="Vermögend und stationär",D861&gt;0,D861&lt;=1),200,IF(AND(L860="Mittellos und ambulant",D861&gt;8,D861&lt;=1000),105,IF(AND(L860="Mittellos und ambulant",D861&gt;4,D861&lt;=8),122,IF(AND(L860="Mittellos und ambulant",D861&gt;2,D861&lt;=4),151,IF(AND(L860="Mittellos und ambulant",D861&gt;1,D861&lt;=2),170,IF(AND(L860="Mittellos und ambulant",D861&gt;0,D861&lt;=1),208,IF(AND(L860="Mittellos und stationär",D861&gt;8,D861&lt;=1000),62,IF(AND(L860="Mittellos und stationär",D861&gt;4,D861&lt;=8),87,IF(AND(L860="Mittellos und stationär",D861&gt;2,D861&lt;=4),124,IF(AND(L860="Mittellos und stationär",D861&gt;1,D861&lt;=2),129,IF(AND(L860="Mittellos und stationär",D861&gt;0,D861&lt;=1),194,""))))))))))))))))))))),IF(M859="Stufe B",IF(AND(L860="Auswahl treffen",D861&gt;=0,D861&lt;=1000),J859,IF(AND(L860="Vermögend und ambulant",D861&gt;8,D861&lt;=1000),161,IF(AND(L860="Vermögend und ambulant",D861&gt;4,D861&lt;=8),196,IF(AND(L860="Vermögend und ambulant",D861&gt;2,D861&lt;=4),238,IF(AND(L860="Vermögend und ambulant",D861&gt;1,D861&lt;=2),258,IF(AND(L860="Vermögend und ambulant",D861&gt;0,D861&lt;=1),370,IF(AND(L860="Vermögend und stationär",D861&gt;8,D861&lt;=1000),96,IF(AND(L860="Vermögend und stationär",D861&gt;4,D861&lt;=8),113,IF(AND(L860="Vermögend und stationär",D861&gt;2,D861&lt;=4),174,IF(AND(L860="Vermögend und stationär",D861&gt;1,D861&lt;=2),196,IF(AND(L860="Vermögend und stationär",D861&gt;0,D861&lt;=1),249,IF(AND(L860="Mittellos und ambulant",D861&gt;8,D861&lt;=1000),130,IF(AND(L860="Mittellos und ambulant",D861&gt;4,D861&lt;=8),151,IF(AND(L860="Mittellos und ambulant",D861&gt;2,D861&lt;=4),188,IF(AND(L860="Mittellos und ambulant",D861&gt;1,D861&lt;=2),211,IF(AND(L860="Mittellos und ambulant",D861&gt;0,D861&lt;=1),258,IF(AND(L860="Mittellos und stationär",D861&gt;8,D861&lt;=1000),78,IF(AND(L860="Mittellos und stationär",D861&gt;4,D861&lt;=8),107,IF(AND(L860="Mittellos und stationär",D861&gt;2,D861&lt;=4),154,IF(AND(L860="Mittellos und stationär",D861&gt;1,D861&lt;=2),158,IF(AND(L860="Mittellos und stationär",D861&gt;0,D861&lt;=1),241,""))))))))))))))))))))),IF(M859="Stufe C",IF(AND(L860="Auswahl treffen",D861&gt;=0,D861&lt;=1000),J859,IF(AND(L860="Vermögend und ambulant",D861&gt;8,D861&lt;=1000),211,IF(AND(L860="Vermögend und ambulant",D861&gt;4,D861&lt;=8),257,IF(AND(L860="Vermögend und ambulant",D861&gt;2,D861&lt;=4),312,IF(AND(L860="Vermögend und ambulant",D861&gt;1,D861&lt;=2),339,IF(AND(L860="Vermögend und ambulant",D861&gt;0,D861&lt;=1),486,IF(AND(L860="Vermögend und stationär",D861&gt;8,D861&lt;=1000),127,IF(AND(L860="Vermögend und stationär",D861&gt;4,D861&lt;=8),149,IF(AND(L860="Vermögend und stationär",D861&gt;2,D861&lt;=4),229,IF(AND(L860="Vermögend und stationär",D861&gt;1,D861&lt;=2),257,IF(AND(L860="Vermögend und stationär",D861&gt;0,D861&lt;=1),327,IF(AND(L860="Mittellos und ambulant",D861&gt;8,D861&lt;=1000),171,IF(AND(L860="Mittellos und ambulant",D861&gt;4,D861&lt;=8),198,IF(AND(L860="Mittellos und ambulant",D861&gt;2,D861&lt;=4),246,IF(AND(L860="Mittellos und ambulant",D861&gt;1,D861&lt;=2),277,IF(AND(L860="Mittellos und ambulant",D861&gt;0,D861&lt;=1),339,IF(AND(L860="Mittellos und stationär",D861&gt;8,D861&lt;=1000),102,IF(AND(L860="Mittellos und stationär",D861&gt;4,D861&lt;=8),141,IF(AND(L860="Mittellos und stationär",D861&gt;2,D861&lt;=4),202,IF(AND(L860="Mittellos und stationär",D861&gt;1,D861&lt;=2),208,IF(AND(L860="Mittellos und stationär",D861&gt;0,D861&lt;=1),317,""))))))))))))))))))))),"")))*3+(J859*90)</f>
        <v>#NUM!</v>
      </c>
      <c r="M862" s="507" t="str">
        <f>CONCATENATE(K862, K861)</f>
        <v>+Inflat.-P</v>
      </c>
      <c r="N862" s="206" t="s">
        <v>118</v>
      </c>
      <c r="O862" s="207"/>
      <c r="P862" s="207"/>
      <c r="Q862" s="208"/>
      <c r="R862" s="187"/>
      <c r="S862" s="209" t="s">
        <v>118</v>
      </c>
      <c r="T862" s="201" t="s">
        <v>117</v>
      </c>
      <c r="U862" s="210" t="s">
        <v>26</v>
      </c>
      <c r="V862" s="192"/>
      <c r="W862" s="203"/>
      <c r="X862" s="203"/>
      <c r="Y862" s="210"/>
      <c r="Z862" s="192"/>
      <c r="AA862" s="203"/>
      <c r="AB862" s="203"/>
      <c r="AC862" s="210"/>
      <c r="AD862" s="192"/>
      <c r="AE862" s="203"/>
      <c r="AF862" s="203"/>
      <c r="AG862" s="210"/>
      <c r="AH862" s="193"/>
      <c r="AI862" s="203"/>
      <c r="AJ862" s="203"/>
      <c r="AK862" s="376"/>
      <c r="AL862" s="348" t="s">
        <v>148</v>
      </c>
      <c r="AM862" s="354">
        <f>IF(SUM(N860:N868)=SUM(S860:S868), 0, SUM(N860:N868)-SUM(S860:S868))</f>
        <v>0</v>
      </c>
      <c r="AN862" s="354"/>
      <c r="AO862" s="354"/>
      <c r="AP862" s="354"/>
      <c r="AQ862" s="350">
        <f>AM862+AN862+AO862+AP862</f>
        <v>0</v>
      </c>
      <c r="AR862" s="769"/>
      <c r="AS862" s="769"/>
      <c r="AT862" s="769"/>
      <c r="BM862" s="335"/>
    </row>
    <row r="863" spans="1:65" ht="22.25" customHeight="1">
      <c r="A863" s="181">
        <f t="shared" si="290"/>
        <v>45292</v>
      </c>
      <c r="B863" s="484" t="e">
        <f>MONTH(I860)</f>
        <v>#NUM!</v>
      </c>
      <c r="C863" s="489" t="s">
        <v>158</v>
      </c>
      <c r="D863" s="522" t="e">
        <f>D861+1</f>
        <v>#NUM!</v>
      </c>
      <c r="E863" s="211" t="e">
        <f>DATE(YEAR(E862),MONTH(E862),DAY(E862)+1)</f>
        <v>#NUM!</v>
      </c>
      <c r="F863" s="212" t="e">
        <f t="shared" si="298"/>
        <v>#NUM!</v>
      </c>
      <c r="G863" s="213" t="e">
        <f t="shared" si="299"/>
        <v>#NUM!</v>
      </c>
      <c r="H863" s="212" t="e">
        <f t="shared" si="300"/>
        <v>#NUM!</v>
      </c>
      <c r="I863" s="214" t="str">
        <f>IF(D860&lt;&gt;0,"-1T","")</f>
        <v/>
      </c>
      <c r="J863" s="215" t="e">
        <f>DATE($B865,I864,$B861)</f>
        <v>#NUM!</v>
      </c>
      <c r="K863" s="501" t="str">
        <f t="shared" si="294"/>
        <v/>
      </c>
      <c r="L863" s="470"/>
      <c r="M863" s="473" t="e">
        <f ca="1">SUM(J860-E864)&amp;" Tage"</f>
        <v>#NUM!</v>
      </c>
      <c r="N863" s="216"/>
      <c r="O863" s="217"/>
      <c r="P863" s="188"/>
      <c r="Q863" s="217"/>
      <c r="R863" s="189"/>
      <c r="S863" s="190"/>
      <c r="T863" s="190"/>
      <c r="U863" s="191"/>
      <c r="V863" s="192"/>
      <c r="W863" s="190"/>
      <c r="X863" s="190"/>
      <c r="Y863" s="191"/>
      <c r="Z863" s="192"/>
      <c r="AA863" s="190"/>
      <c r="AB863" s="190"/>
      <c r="AC863" s="191"/>
      <c r="AD863" s="192"/>
      <c r="AE863" s="190"/>
      <c r="AF863" s="190"/>
      <c r="AG863" s="191"/>
      <c r="AH863" s="193"/>
      <c r="AI863" s="190"/>
      <c r="AJ863" s="190"/>
      <c r="AK863" s="374"/>
      <c r="AL863" s="348"/>
      <c r="AM863" s="354"/>
      <c r="AN863" s="354"/>
      <c r="AO863" s="354"/>
      <c r="AP863" s="354"/>
      <c r="AQ863" s="350"/>
      <c r="AR863" s="769"/>
      <c r="AS863" s="769"/>
      <c r="AT863" s="769"/>
      <c r="BM863" s="335"/>
    </row>
    <row r="864" spans="1:65" ht="22.25" customHeight="1">
      <c r="A864" s="181">
        <f t="shared" si="290"/>
        <v>45292</v>
      </c>
      <c r="B864" s="485"/>
      <c r="C864" s="490"/>
      <c r="D864" s="521"/>
      <c r="E864" s="218" t="e">
        <f>DATE(YEAR(E863),MONTH(E863)+3,DAY(E863)-1)</f>
        <v>#NUM!</v>
      </c>
      <c r="F864" s="212" t="e">
        <f t="shared" si="298"/>
        <v>#NUM!</v>
      </c>
      <c r="G864" s="213" t="e">
        <f t="shared" si="299"/>
        <v>#NUM!</v>
      </c>
      <c r="H864" s="212" t="e">
        <f t="shared" si="300"/>
        <v>#NUM!</v>
      </c>
      <c r="I864" s="219">
        <f>MAX(I865:I868)</f>
        <v>9</v>
      </c>
      <c r="J864" s="220" t="e">
        <f>DATE(YEAR(J863)+1,MONTH(J863),DAY(J863))</f>
        <v>#NUM!</v>
      </c>
      <c r="K864" s="506" t="str">
        <f t="shared" si="294"/>
        <v>+Inflat.-P</v>
      </c>
      <c r="L864" s="508" t="e">
        <f>IF(M859="Stufe A",IF(AND(L860="Auswahl treffen",D863&gt;=0,D863&lt;=1000),J859,IF(AND(L860="Vermögend und ambulant",D863&gt;8,D863&lt;=1000),130,IF(AND(L860="Vermögend und ambulant",D863&gt;4,D863&lt;=8),158,IF(AND(L860="Vermögend und ambulant",D863&gt;2,D863&lt;=4),192,IF(AND(L860="Vermögend und ambulant",D863&gt;1,D863&lt;=2),208,IF(AND(L860="Vermögend und ambulant",D863&gt;0,D863&lt;=1),298,IF(AND(L860="Vermögend und stationär",D863&gt;8,D863&lt;=1000),78,IF(AND(L860="Vermögend und stationär",D863&gt;4,D863&lt;=8),91,IF(AND(L860="Vermögend und stationär",D863&gt;2,D863&lt;=4),140,IF(AND(L860="Vermögend und stationär",D863&gt;1,D863&lt;=2),158,IF(AND(L860="Vermögend und stationär",D863&gt;0,D863&lt;=1),200,IF(AND(L860="Mittellos und ambulant",D863&gt;8,D863&lt;=1000),105,IF(AND(L860="Mittellos und ambulant",D863&gt;4,D863&lt;=8),122,IF(AND(L860="Mittellos und ambulant",D863&gt;2,D863&lt;=4),151,IF(AND(L860="Mittellos und ambulant",D863&gt;1,D863&lt;=2),170,IF(AND(L860="Mittellos und ambulant",D863&gt;0,D863&lt;=1),208,IF(AND(L860="Mittellos und stationär",D863&gt;8,D863&lt;=1000),62,IF(AND(L860="Mittellos und stationär",D863&gt;4,D863&lt;=8),87,IF(AND(L860="Mittellos und stationär",D863&gt;2,D863&lt;=4),124,IF(AND(L860="Mittellos und stationär",D863&gt;1,D863&lt;=2),129,IF(AND(L860="Mittellos und stationär",D863&gt;0,D863&lt;=1),194,""))))))))))))))))))))),IF(M859="Stufe B",IF(AND(L860="Auswahl treffen",D863&gt;=0,D863&lt;=1000),J859,IF(AND(L860="Vermögend und ambulant",D863&gt;8,D863&lt;=1000),161,IF(AND(L860="Vermögend und ambulant",D863&gt;4,D863&lt;=8),196,IF(AND(L860="Vermögend und ambulant",D863&gt;2,D863&lt;=4),238,IF(AND(L860="Vermögend und ambulant",D863&gt;1,D863&lt;=2),258,IF(AND(L860="Vermögend und ambulant",D863&gt;0,D863&lt;=1),370,IF(AND(L860="Vermögend und stationär",D863&gt;8,D863&lt;=1000),96,IF(AND(L860="Vermögend und stationär",D863&gt;4,D863&lt;=8),113,IF(AND(L860="Vermögend und stationär",D863&gt;2,D863&lt;=4),174,IF(AND(L860="Vermögend und stationär",D863&gt;1,D863&lt;=2),196,IF(AND(L860="Vermögend und stationär",D863&gt;0,D863&lt;=1),249,IF(AND(L860="Mittellos und ambulant",D863&gt;8,D863&lt;=1000),130,IF(AND(L860="Mittellos und ambulant",D863&gt;4,D863&lt;=8),151,IF(AND(L860="Mittellos und ambulant",D863&gt;2,D863&lt;=4),188,IF(AND(L860="Mittellos und ambulant",D863&gt;1,D863&lt;=2),211,IF(AND(L860="Mittellos und ambulant",D863&gt;0,D863&lt;=1),258,IF(AND(L860="Mittellos und stationär",D863&gt;8,D863&lt;=1000),78,IF(AND(L860="Mittellos und stationär",D863&gt;4,D863&lt;=8),107,IF(AND(L860="Mittellos und stationär",D863&gt;2,D863&lt;=4),154,IF(AND(L860="Mittellos und stationär",D863&gt;1,D863&lt;=2),158,IF(AND(L860="Mittellos und stationär",D863&gt;0,D863&lt;=1),241,""))))))))))))))))))))),IF(M859="Stufe C",IF(AND(L860="Auswahl treffen",D863&gt;=0,D863&lt;=1000),J859,IF(AND(L860="Vermögend und ambulant",D863&gt;8,D863&lt;=1000),211,IF(AND(L860="Vermögend und ambulant",D863&gt;4,D863&lt;=8),257,IF(AND(L860="Vermögend und ambulant",D863&gt;2,D863&lt;=4),312,IF(AND(L860="Vermögend und ambulant",D863&gt;1,D863&lt;=2),339,IF(AND(L860="Vermögend und ambulant",D863&gt;0,D863&lt;=1),486,IF(AND(L860="Vermögend und stationär",D863&gt;8,D863&lt;=1000),127,IF(AND(L860="Vermögend und stationär",D863&gt;4,D863&lt;=8),149,IF(AND(L860="Vermögend und stationär",D863&gt;2,D863&lt;=4),229,IF(AND(L860="Vermögend und stationär",D863&gt;1,D863&lt;=2),257,IF(AND(L860="Vermögend und stationär",D863&gt;0,D863&lt;=1),327,IF(AND(L860="Mittellos und ambulant",D863&gt;8,D863&lt;=1000),171,IF(AND(L860="Mittellos und ambulant",D863&gt;4,D863&lt;=8),198,IF(AND(L860="Mittellos und ambulant",D863&gt;2,D863&lt;=4),246,IF(AND(L860="Mittellos und ambulant",D863&gt;1,D863&lt;=2),277,IF(AND(L860="Mittellos und ambulant",D863&gt;0,D863&lt;=1),339,IF(AND(L860="Mittellos und stationär",D863&gt;8,D863&lt;=1000),102,IF(AND(L860="Mittellos und stationär",D863&gt;4,D863&lt;=8),141,IF(AND(L860="Mittellos und stationär",D863&gt;2,D863&lt;=4),202,IF(AND(L860="Mittellos und stationär",D863&gt;1,D863&lt;=2),208,IF(AND(L860="Mittellos und stationär",D863&gt;0,D863&lt;=1),317,""))))))))))))))))))))),"")))*3+(J859*90)</f>
        <v>#NUM!</v>
      </c>
      <c r="M864" s="507" t="str">
        <f>CONCATENATE(K864, K863)</f>
        <v>+Inflat.-P</v>
      </c>
      <c r="N864" s="216"/>
      <c r="O864" s="188" t="s">
        <v>118</v>
      </c>
      <c r="P864" s="188"/>
      <c r="Q864" s="221"/>
      <c r="R864" s="199"/>
      <c r="S864" s="190"/>
      <c r="T864" s="190"/>
      <c r="U864" s="191"/>
      <c r="V864" s="192"/>
      <c r="W864" s="222" t="s">
        <v>118</v>
      </c>
      <c r="X864" s="222" t="s">
        <v>117</v>
      </c>
      <c r="Y864" s="191" t="s">
        <v>26</v>
      </c>
      <c r="Z864" s="192"/>
      <c r="AA864" s="190"/>
      <c r="AB864" s="190"/>
      <c r="AC864" s="191"/>
      <c r="AD864" s="192"/>
      <c r="AE864" s="190"/>
      <c r="AF864" s="190"/>
      <c r="AG864" s="191"/>
      <c r="AH864" s="193"/>
      <c r="AI864" s="190"/>
      <c r="AJ864" s="190"/>
      <c r="AK864" s="374"/>
      <c r="AL864" s="348" t="s">
        <v>149</v>
      </c>
      <c r="AM864" s="354"/>
      <c r="AN864" s="354">
        <f>IF(SUM(O860:O868)=SUM(W860:W868), 0, SUM(O860:O868)-SUM(W860:W868))</f>
        <v>0</v>
      </c>
      <c r="AO864" s="354"/>
      <c r="AP864" s="354"/>
      <c r="AQ864" s="350">
        <f>AM864+AN864+AO864+AP864</f>
        <v>0</v>
      </c>
      <c r="AR864" s="769"/>
      <c r="AS864" s="769"/>
      <c r="AT864" s="769"/>
      <c r="BM864" s="335"/>
    </row>
    <row r="865" spans="1:65" ht="22.25" customHeight="1">
      <c r="A865" s="181">
        <f t="shared" si="290"/>
        <v>45292</v>
      </c>
      <c r="B865" s="484">
        <f>YEAR($A866)-1</f>
        <v>2023</v>
      </c>
      <c r="C865" s="489" t="s">
        <v>158</v>
      </c>
      <c r="D865" s="520" t="e">
        <f>D863+1</f>
        <v>#NUM!</v>
      </c>
      <c r="E865" s="194" t="e">
        <f>DATE(YEAR(E864),MONTH(E864),DAY(E864)+1)</f>
        <v>#NUM!</v>
      </c>
      <c r="F865" s="195" t="e">
        <f t="shared" si="298"/>
        <v>#NUM!</v>
      </c>
      <c r="G865" s="196" t="e">
        <f t="shared" si="299"/>
        <v>#NUM!</v>
      </c>
      <c r="H865" s="195" t="e">
        <f t="shared" si="300"/>
        <v>#NUM!</v>
      </c>
      <c r="I865" s="197">
        <f>IF(J867&lt;13,J867,"")</f>
        <v>9</v>
      </c>
      <c r="J865" s="224">
        <f>G860</f>
        <v>0</v>
      </c>
      <c r="K865" s="501" t="str">
        <f t="shared" si="294"/>
        <v/>
      </c>
      <c r="L865" s="471"/>
      <c r="M865" s="473" t="e">
        <f ca="1">SUM(J860-E866)&amp;" Tage"</f>
        <v>#NUM!</v>
      </c>
      <c r="N865" s="200"/>
      <c r="O865" s="201"/>
      <c r="P865" s="201"/>
      <c r="Q865" s="202"/>
      <c r="R865" s="189"/>
      <c r="S865" s="203"/>
      <c r="T865" s="203"/>
      <c r="U865" s="204"/>
      <c r="V865" s="192"/>
      <c r="W865" s="203"/>
      <c r="X865" s="203"/>
      <c r="Y865" s="204"/>
      <c r="Z865" s="192"/>
      <c r="AA865" s="203"/>
      <c r="AB865" s="203"/>
      <c r="AC865" s="204"/>
      <c r="AD865" s="192"/>
      <c r="AE865" s="203"/>
      <c r="AF865" s="203"/>
      <c r="AG865" s="204"/>
      <c r="AH865" s="193"/>
      <c r="AI865" s="203"/>
      <c r="AJ865" s="203"/>
      <c r="AK865" s="375"/>
      <c r="AL865" s="348"/>
      <c r="AM865" s="354"/>
      <c r="AN865" s="354"/>
      <c r="AO865" s="354"/>
      <c r="AP865" s="354"/>
      <c r="AQ865" s="350"/>
      <c r="AR865" s="769"/>
      <c r="AS865" s="769"/>
      <c r="AT865" s="769"/>
      <c r="BM865" s="335"/>
    </row>
    <row r="866" spans="1:65" ht="22.25" customHeight="1">
      <c r="A866" s="181">
        <f t="shared" si="290"/>
        <v>45292</v>
      </c>
      <c r="B866" s="485"/>
      <c r="C866" s="490"/>
      <c r="D866" s="521"/>
      <c r="E866" s="194" t="e">
        <f>DATE(YEAR(E865),MONTH(E865)+3,DAY(E865)-1)</f>
        <v>#NUM!</v>
      </c>
      <c r="F866" s="195" t="e">
        <f t="shared" si="298"/>
        <v>#NUM!</v>
      </c>
      <c r="G866" s="196" t="e">
        <f t="shared" si="299"/>
        <v>#NUM!</v>
      </c>
      <c r="H866" s="195" t="e">
        <f t="shared" si="300"/>
        <v>#NUM!</v>
      </c>
      <c r="I866" s="244">
        <f>IF(J868&lt;13,J868,"")</f>
        <v>6</v>
      </c>
      <c r="J866" s="224">
        <f>J865+3</f>
        <v>3</v>
      </c>
      <c r="K866" s="501" t="str">
        <f t="shared" si="294"/>
        <v>+Inflat.-P</v>
      </c>
      <c r="L866" s="511" t="e">
        <f>IF(M859="Stufe A",IF(AND(L860="Auswahl treffen",D865&gt;=0,D865&lt;=1000),J859,IF(AND(L860="Vermögend und ambulant",D865&gt;8,D865&lt;=1000),130,IF(AND(L860="Vermögend und ambulant",D865&gt;4,D865&lt;=8),158,IF(AND(L860="Vermögend und ambulant",D865&gt;2,D865&lt;=4),192,IF(AND(L860="Vermögend und ambulant",D865&gt;1,D865&lt;=2),208,IF(AND(L860="Vermögend und ambulant",D865&gt;0,D865&lt;=1),298,IF(AND(L860="Vermögend und stationär",D865&gt;8,D865&lt;=1000),78,IF(AND(L860="Vermögend und stationär",D865&gt;4,D865&lt;=8),91,IF(AND(L860="Vermögend und stationär",D865&gt;2,D865&lt;=4),140,IF(AND(L860="Vermögend und stationär",D865&gt;1,D865&lt;=2),158,IF(AND(L860="Vermögend und stationär",D865&gt;0,D865&lt;=1),200,IF(AND(L860="Mittellos und ambulant",D865&gt;8,D865&lt;=1000),105,IF(AND(L860="Mittellos und ambulant",D865&gt;4,D865&lt;=8),122,IF(AND(L860="Mittellos und ambulant",D865&gt;2,D865&lt;=4),151,IF(AND(L860="Mittellos und ambulant",D865&gt;1,D865&lt;=2),170,IF(AND(L860="Mittellos und ambulant",D865&gt;0,D865&lt;=1),208,IF(AND(L860="Mittellos und stationär",D865&gt;8,D865&lt;=1000),62,IF(AND(L860="Mittellos und stationär",D865&gt;4,D865&lt;=8),87,IF(AND(L860="Mittellos und stationär",D865&gt;2,D865&lt;=4),124,IF(AND(L860="Mittellos und stationär",D865&gt;1,D865&lt;=2),129,IF(AND(L860="Mittellos und stationär",D865&gt;0,D865&lt;=1),194,""))))))))))))))))))))),IF(M859="Stufe B",IF(AND(L860="Auswahl treffen",D865&gt;=0,D865&lt;=1000),J859,IF(AND(L860="Vermögend und ambulant",D865&gt;8,D865&lt;=1000),161,IF(AND(L860="Vermögend und ambulant",D865&gt;4,D865&lt;=8),196,IF(AND(L860="Vermögend und ambulant",D865&gt;2,D865&lt;=4),238,IF(AND(L860="Vermögend und ambulant",D865&gt;1,D865&lt;=2),258,IF(AND(L860="Vermögend und ambulant",D865&gt;0,D865&lt;=1),370,IF(AND(L860="Vermögend und stationär",D865&gt;8,D865&lt;=1000),96,IF(AND(L860="Vermögend und stationär",D865&gt;4,D865&lt;=8),113,IF(AND(L860="Vermögend und stationär",D865&gt;2,D865&lt;=4),174,IF(AND(L860="Vermögend und stationär",D865&gt;1,D865&lt;=2),196,IF(AND(L860="Vermögend und stationär",D865&gt;0,D865&lt;=1),249,IF(AND(L860="Mittellos und ambulant",D865&gt;8,D865&lt;=1000),130,IF(AND(L860="Mittellos und ambulant",D865&gt;4,D865&lt;=8),151,IF(AND(L860="Mittellos und ambulant",D865&gt;2,D865&lt;=4),188,IF(AND(L860="Mittellos und ambulant",D865&gt;1,D865&lt;=2),211,IF(AND(L860="Mittellos und ambulant",D865&gt;0,D865&lt;=1),258,IF(AND(L860="Mittellos und stationär",D865&gt;8,D865&lt;=1000),78,IF(AND(L860="Mittellos und stationär",D865&gt;4,D865&lt;=8),107,IF(AND(L860="Mittellos und stationär",D865&gt;2,D865&lt;=4),154,IF(AND(L860="Mittellos und stationär",D865&gt;1,D865&lt;=2),158,IF(AND(L860="Mittellos und stationär",D865&gt;0,D865&lt;=1),241,""))))))))))))))))))))),IF(M859="Stufe C",IF(AND(L860="Auswahl treffen",D865&gt;=0,D865&lt;=1000),J859,IF(AND(L860="Vermögend und ambulant",D865&gt;8,D865&lt;=1000),211,IF(AND(L860="Vermögend und ambulant",D865&gt;4,D865&lt;=8),257,IF(AND(L860="Vermögend und ambulant",D865&gt;2,D865&lt;=4),312,IF(AND(L860="Vermögend und ambulant",D865&gt;1,D865&lt;=2),339,IF(AND(L860="Vermögend und ambulant",D865&gt;0,D865&lt;=1),486,IF(AND(L860="Vermögend und stationär",D865&gt;8,D865&lt;=1000),127,IF(AND(L860="Vermögend und stationär",D865&gt;4,D865&lt;=8),149,IF(AND(L860="Vermögend und stationär",D865&gt;2,D865&lt;=4),229,IF(AND(L860="Vermögend und stationär",D865&gt;1,D865&lt;=2),257,IF(AND(L860="Vermögend und stationär",D865&gt;0,D865&lt;=1),327,IF(AND(L860="Mittellos und ambulant",D865&gt;8,D865&lt;=1000),171,IF(AND(L860="Mittellos und ambulant",D865&gt;4,D865&lt;=8),198,IF(AND(L860="Mittellos und ambulant",D865&gt;2,D865&lt;=4),246,IF(AND(L860="Mittellos und ambulant",D865&gt;1,D865&lt;=2),277,IF(AND(L860="Mittellos und ambulant",D865&gt;0,D865&lt;=1),339,IF(AND(L860="Mittellos und stationär",D865&gt;8,D865&lt;=1000),102,IF(AND(L860="Mittellos und stationär",D865&gt;4,D865&lt;=8),141,IF(AND(L860="Mittellos und stationär",D865&gt;2,D865&lt;=4),202,IF(AND(L860="Mittellos und stationär",D865&gt;1,D865&lt;=2),208,IF(AND(L860="Mittellos und stationär",D865&gt;0,D865&lt;=1),317,""))))))))))))))))))))),"")))*3+(J859*90)</f>
        <v>#NUM!</v>
      </c>
      <c r="M866" s="507" t="str">
        <f>CONCATENATE(K866, K865)</f>
        <v>+Inflat.-P</v>
      </c>
      <c r="N866" s="206"/>
      <c r="O866" s="207"/>
      <c r="P866" s="206" t="s">
        <v>118</v>
      </c>
      <c r="Q866" s="226"/>
      <c r="R866" s="189"/>
      <c r="S866" s="203"/>
      <c r="T866" s="203"/>
      <c r="U866" s="204"/>
      <c r="V866" s="192"/>
      <c r="W866" s="203"/>
      <c r="X866" s="203"/>
      <c r="Y866" s="204"/>
      <c r="Z866" s="192"/>
      <c r="AA866" s="209" t="s">
        <v>118</v>
      </c>
      <c r="AB866" s="209" t="s">
        <v>117</v>
      </c>
      <c r="AC866" s="204" t="s">
        <v>26</v>
      </c>
      <c r="AD866" s="192"/>
      <c r="AE866" s="203"/>
      <c r="AF866" s="203"/>
      <c r="AG866" s="204"/>
      <c r="AH866" s="193"/>
      <c r="AI866" s="203"/>
      <c r="AJ866" s="203"/>
      <c r="AK866" s="375"/>
      <c r="AL866" s="348" t="s">
        <v>150</v>
      </c>
      <c r="AM866" s="354"/>
      <c r="AN866" s="354"/>
      <c r="AO866" s="354">
        <f>IF(SUM(P860:P868)=SUM(AA860:AA868), 0, SUM(P860:P868)-SUM(AA860:AA868))</f>
        <v>0</v>
      </c>
      <c r="AP866" s="354"/>
      <c r="AQ866" s="350">
        <f>AM866+AN866+AO866+AP866</f>
        <v>0</v>
      </c>
      <c r="AR866" s="769"/>
      <c r="AS866" s="769"/>
      <c r="AT866" s="769"/>
      <c r="BM866" s="335"/>
    </row>
    <row r="867" spans="1:65" ht="22.25" customHeight="1">
      <c r="A867" s="181">
        <f t="shared" si="290"/>
        <v>45292</v>
      </c>
      <c r="B867" s="486"/>
      <c r="C867" s="489" t="s">
        <v>158</v>
      </c>
      <c r="D867" s="522" t="e">
        <f>D865+1</f>
        <v>#NUM!</v>
      </c>
      <c r="E867" s="211" t="e">
        <f>DATE(YEAR(E866),MONTH(E866),DAY(E866)+1)</f>
        <v>#NUM!</v>
      </c>
      <c r="F867" s="227" t="e">
        <f t="shared" si="298"/>
        <v>#NUM!</v>
      </c>
      <c r="G867" s="228" t="e">
        <f t="shared" si="299"/>
        <v>#NUM!</v>
      </c>
      <c r="H867" s="227" t="e">
        <f t="shared" si="300"/>
        <v>#NUM!</v>
      </c>
      <c r="I867" s="231">
        <f>IF(J866&lt;13,J866,"")</f>
        <v>3</v>
      </c>
      <c r="J867" s="230">
        <f>J868+3</f>
        <v>9</v>
      </c>
      <c r="K867" s="506" t="str">
        <f t="shared" si="294"/>
        <v/>
      </c>
      <c r="L867" s="471"/>
      <c r="M867" s="473" t="e">
        <f ca="1">SUM(J860-E868)&amp;" Tage"</f>
        <v>#NUM!</v>
      </c>
      <c r="N867" s="216"/>
      <c r="O867" s="188"/>
      <c r="P867" s="188"/>
      <c r="Q867" s="217"/>
      <c r="R867" s="189"/>
      <c r="S867" s="190"/>
      <c r="T867" s="190"/>
      <c r="U867" s="191"/>
      <c r="V867" s="192"/>
      <c r="W867" s="190"/>
      <c r="X867" s="190"/>
      <c r="Y867" s="191"/>
      <c r="Z867" s="192"/>
      <c r="AA867" s="190"/>
      <c r="AB867" s="190"/>
      <c r="AC867" s="191"/>
      <c r="AD867" s="192"/>
      <c r="AE867" s="190"/>
      <c r="AF867" s="190"/>
      <c r="AG867" s="191"/>
      <c r="AH867" s="193"/>
      <c r="AI867" s="190"/>
      <c r="AJ867" s="190"/>
      <c r="AK867" s="374"/>
      <c r="AL867" s="348"/>
      <c r="AM867" s="354"/>
      <c r="AN867" s="354"/>
      <c r="AO867" s="354"/>
      <c r="AP867" s="354"/>
      <c r="AQ867" s="350"/>
      <c r="AR867" s="769"/>
      <c r="AS867" s="769"/>
      <c r="AT867" s="769"/>
      <c r="BM867" s="335"/>
    </row>
    <row r="868" spans="1:65" ht="22.25" customHeight="1">
      <c r="A868" s="181">
        <f t="shared" si="290"/>
        <v>45292</v>
      </c>
      <c r="B868" s="485"/>
      <c r="C868" s="490"/>
      <c r="D868" s="521"/>
      <c r="E868" s="218" t="e">
        <f>DATE(YEAR(E867),MONTH(E867)+3,DAY(E867)-1)</f>
        <v>#NUM!</v>
      </c>
      <c r="F868" s="227" t="e">
        <f t="shared" si="298"/>
        <v>#NUM!</v>
      </c>
      <c r="G868" s="228" t="e">
        <f t="shared" si="299"/>
        <v>#NUM!</v>
      </c>
      <c r="H868" s="227" t="e">
        <f t="shared" si="300"/>
        <v>#NUM!</v>
      </c>
      <c r="I868" s="231">
        <f>IF(J865&lt;13,J865,"")</f>
        <v>0</v>
      </c>
      <c r="J868" s="230">
        <f>J866+3</f>
        <v>6</v>
      </c>
      <c r="K868" s="501" t="str">
        <f t="shared" si="294"/>
        <v>+Inflat.-P</v>
      </c>
      <c r="L868" s="508" t="e">
        <f>IF(M859="Stufe A",IF(AND(L860="Auswahl treffen",D867&gt;=0,D867&lt;=1000),J859,IF(AND(L860="Vermögend und ambulant",D867&gt;8,D867&lt;=1000),130,IF(AND(L860="Vermögend und ambulant",D867&gt;4,D867&lt;=8),158,IF(AND(L860="Vermögend und ambulant",D867&gt;2,D867&lt;=4),192,IF(AND(L860="Vermögend und ambulant",D867&gt;1,D867&lt;=2),208,IF(AND(L860="Vermögend und ambulant",D867&gt;0,D867&lt;=1),298,IF(AND(L860="Vermögend und stationär",D867&gt;8,D867&lt;=1000),78,IF(AND(L860="Vermögend und stationär",D867&gt;4,D867&lt;=8),91,IF(AND(L860="Vermögend und stationär",D867&gt;2,D867&lt;=4),140,IF(AND(L860="Vermögend und stationär",D867&gt;1,D867&lt;=2),158,IF(AND(L860="Vermögend und stationär",D867&gt;0,D867&lt;=1),200,IF(AND(L860="Mittellos und ambulant",D867&gt;8,D867&lt;=1000),105,IF(AND(L860="Mittellos und ambulant",D867&gt;4,D867&lt;=8),122,IF(AND(L860="Mittellos und ambulant",D867&gt;2,D867&lt;=4),151,IF(AND(L860="Mittellos und ambulant",D867&gt;1,D867&lt;=2),170,IF(AND(L860="Mittellos und ambulant",D867&gt;0,D867&lt;=1),208,IF(AND(L860="Mittellos und stationär",D867&gt;8,D867&lt;=1000),62,IF(AND(L860="Mittellos und stationär",D867&gt;4,D867&lt;=8),87,IF(AND(L860="Mittellos und stationär",D867&gt;2,D867&lt;=4),124,IF(AND(L860="Mittellos und stationär",D867&gt;1,D867&lt;=2),129,IF(AND(L860="Mittellos und stationär",D867&gt;0,D867&lt;=1),194,""))))))))))))))))))))),IF(M859="Stufe B",IF(AND(L860="Auswahl treffen",D867&gt;=0,D867&lt;=1000),J859,IF(AND(L860="Vermögend und ambulant",D867&gt;8,D867&lt;=1000),161,IF(AND(L860="Vermögend und ambulant",D867&gt;4,D867&lt;=8),196,IF(AND(L860="Vermögend und ambulant",D867&gt;2,D867&lt;=4),238,IF(AND(L860="Vermögend und ambulant",D867&gt;1,D867&lt;=2),258,IF(AND(L860="Vermögend und ambulant",D867&gt;0,D867&lt;=1),370,IF(AND(L860="Vermögend und stationär",D867&gt;8,D867&lt;=1000),96,IF(AND(L860="Vermögend und stationär",D867&gt;4,D867&lt;=8),113,IF(AND(L860="Vermögend und stationär",D867&gt;2,D867&lt;=4),174,IF(AND(L860="Vermögend und stationär",D867&gt;1,D867&lt;=2),196,IF(AND(L860="Vermögend und stationär",D867&gt;0,D867&lt;=1),249,IF(AND(L860="Mittellos und ambulant",D867&gt;8,D867&lt;=1000),130,IF(AND(L860="Mittellos und ambulant",D867&gt;4,D867&lt;=8),151,IF(AND(L860="Mittellos und ambulant",D867&gt;2,D867&lt;=4),188,IF(AND(L860="Mittellos und ambulant",D867&gt;1,D867&lt;=2),211,IF(AND(L860="Mittellos und ambulant",D867&gt;0,D867&lt;=1),258,IF(AND(L860="Mittellos und stationär",D867&gt;8,D867&lt;=1000),78,IF(AND(L860="Mittellos und stationär",D867&gt;4,D867&lt;=8),107,IF(AND(L860="Mittellos und stationär",D867&gt;2,D867&lt;=4),154,IF(AND(L860="Mittellos und stationär",D867&gt;1,D867&lt;=2),158,IF(AND(L860="Mittellos und stationär",D867&gt;0,D867&lt;=1),241,""))))))))))))))))))))),IF(M859="Stufe C",IF(AND(L860="Auswahl treffen",D867&gt;=0,D867&lt;=1000),J859,IF(AND(L860="Vermögend und ambulant",D867&gt;8,D867&lt;=1000),211,IF(AND(L860="Vermögend und ambulant",D867&gt;4,D867&lt;=8),257,IF(AND(L860="Vermögend und ambulant",D867&gt;2,D867&lt;=4),312,IF(AND(L860="Vermögend und ambulant",D867&gt;1,D867&lt;=2),339,IF(AND(L860="Vermögend und ambulant",D867&gt;0,D867&lt;=1),486,IF(AND(L860="Vermögend und stationär",D867&gt;8,D867&lt;=1000),127,IF(AND(L860="Vermögend und stationär",D867&gt;4,D867&lt;=8),149,IF(AND(L860="Vermögend und stationär",D867&gt;2,D867&lt;=4),229,IF(AND(L860="Vermögend und stationär",D867&gt;1,D867&lt;=2),257,IF(AND(L860="Vermögend und stationär",D867&gt;0,D867&lt;=1),327,IF(AND(L860="Mittellos und ambulant",D867&gt;8,D867&lt;=1000),171,IF(AND(L860="Mittellos und ambulant",D867&gt;4,D867&lt;=8),198,IF(AND(L860="Mittellos und ambulant",D867&gt;2,D867&lt;=4),246,IF(AND(L860="Mittellos und ambulant",D867&gt;1,D867&lt;=2),277,IF(AND(L860="Mittellos und ambulant",D867&gt;0,D867&lt;=1),339,IF(AND(L860="Mittellos und stationär",D867&gt;8,D867&lt;=1000),102,IF(AND(L860="Mittellos und stationär",D867&gt;4,D867&lt;=8),141,IF(AND(L860="Mittellos und stationär",D867&gt;2,D867&lt;=4),202,IF(AND(L860="Mittellos und stationär",D867&gt;1,D867&lt;=2),208,IF(AND(L860="Mittellos und stationär",D867&gt;0,D867&lt;=1),317,""))))))))))))))))))))),"")))*3+(J859*90)</f>
        <v>#NUM!</v>
      </c>
      <c r="M868" s="507" t="str">
        <f>CONCATENATE(K868, K867)</f>
        <v>+Inflat.-P</v>
      </c>
      <c r="N868" s="216"/>
      <c r="O868" s="188"/>
      <c r="P868" s="188"/>
      <c r="Q868" s="217" t="s">
        <v>118</v>
      </c>
      <c r="R868" s="189"/>
      <c r="S868" s="190"/>
      <c r="T868" s="190"/>
      <c r="U868" s="191"/>
      <c r="V868" s="192"/>
      <c r="W868" s="190"/>
      <c r="X868" s="190"/>
      <c r="Y868" s="191"/>
      <c r="Z868" s="192"/>
      <c r="AA868" s="190"/>
      <c r="AB868" s="190"/>
      <c r="AC868" s="191"/>
      <c r="AD868" s="192"/>
      <c r="AE868" s="190" t="s">
        <v>118</v>
      </c>
      <c r="AF868" s="190" t="s">
        <v>117</v>
      </c>
      <c r="AG868" s="191" t="s">
        <v>26</v>
      </c>
      <c r="AH868" s="193"/>
      <c r="AI868" s="190" t="s">
        <v>118</v>
      </c>
      <c r="AJ868" s="190" t="s">
        <v>117</v>
      </c>
      <c r="AK868" s="374" t="s">
        <v>26</v>
      </c>
      <c r="AL868" s="348" t="s">
        <v>151</v>
      </c>
      <c r="AM868" s="354"/>
      <c r="AN868" s="354"/>
      <c r="AO868" s="354"/>
      <c r="AP868" s="354">
        <f>IF(SUM(Q860:Q868)=SUM(AE860:AE868,AI860:AI868), 0, SUM(Q860:Q868)-SUM(AE860:AE868,AI860:AI868))</f>
        <v>0</v>
      </c>
      <c r="AQ868" s="350">
        <f>AM868+AN868+AO868+AP868</f>
        <v>0</v>
      </c>
      <c r="AR868" s="769"/>
      <c r="AS868" s="769"/>
      <c r="AT868" s="769"/>
      <c r="BM868" s="335"/>
    </row>
    <row r="869" spans="1:65" ht="22" customHeight="1">
      <c r="A869" s="181">
        <f t="shared" si="290"/>
        <v>45292</v>
      </c>
      <c r="B869" s="232" t="s">
        <v>74</v>
      </c>
      <c r="C869" s="233" t="s">
        <v>75</v>
      </c>
      <c r="D869" s="234" t="s">
        <v>76</v>
      </c>
      <c r="E869" s="235" t="s">
        <v>11</v>
      </c>
      <c r="F869" s="235" t="s">
        <v>4</v>
      </c>
      <c r="G869" s="235" t="s">
        <v>5</v>
      </c>
      <c r="H869" s="235" t="s">
        <v>6</v>
      </c>
      <c r="I869" s="236" t="s">
        <v>77</v>
      </c>
      <c r="J869" s="479"/>
      <c r="K869" s="506" t="str">
        <f t="shared" si="294"/>
        <v/>
      </c>
      <c r="L869" s="479" t="str">
        <f>IFERROR(VLOOKUP(B870,'Aktuelle Einnahmen'!A2:J104,10,0),"")</f>
        <v/>
      </c>
      <c r="M869" s="512" t="str">
        <f>M859</f>
        <v>Stufe C</v>
      </c>
      <c r="N869" s="237"/>
      <c r="O869" s="238"/>
      <c r="P869" s="238"/>
      <c r="Q869" s="239"/>
      <c r="R869" s="240"/>
      <c r="S869" s="241"/>
      <c r="T869" s="241"/>
      <c r="U869" s="242"/>
      <c r="V869" s="243"/>
      <c r="W869" s="241"/>
      <c r="X869" s="241"/>
      <c r="Y869" s="242"/>
      <c r="Z869" s="243"/>
      <c r="AA869" s="241"/>
      <c r="AB869" s="241"/>
      <c r="AC869" s="242"/>
      <c r="AD869" s="243"/>
      <c r="AE869" s="241"/>
      <c r="AF869" s="241"/>
      <c r="AG869" s="242"/>
      <c r="AH869" s="240"/>
      <c r="AI869" s="241"/>
      <c r="AJ869" s="241"/>
      <c r="AK869" s="377"/>
      <c r="AL869" s="347"/>
      <c r="AM869" s="353"/>
      <c r="AN869" s="353"/>
      <c r="AO869" s="353"/>
      <c r="AP869" s="353"/>
      <c r="AQ869" s="349"/>
      <c r="AR869" s="768"/>
      <c r="AS869" s="768"/>
      <c r="AT869" s="768"/>
      <c r="BM869" s="335"/>
    </row>
    <row r="870" spans="1:65" ht="23" customHeight="1">
      <c r="A870" s="181">
        <f t="shared" si="290"/>
        <v>45292</v>
      </c>
      <c r="B870" s="182">
        <v>87</v>
      </c>
      <c r="C870" s="245">
        <f>IFERROR(VLOOKUP($B870,'Aktuelle Einnahmen'!A2:G104,3,0),"")</f>
        <v>0</v>
      </c>
      <c r="D870" s="246">
        <f>IFERROR(VLOOKUP($B870,'Aktuelle Einnahmen'!A2:G104,2,0),"")</f>
        <v>0</v>
      </c>
      <c r="E870" s="247">
        <f>IFERROR(VLOOKUP($B870,'Aktuelle Einnahmen'!A2:G104,4,0),"")</f>
        <v>0</v>
      </c>
      <c r="F870" s="94">
        <f>IFERROR(VLOOKUP($B870,'Aktuelle Einnahmen'!A2:G104,5,0),"")</f>
        <v>0</v>
      </c>
      <c r="G870" s="94">
        <f>IFERROR(VLOOKUP($B870,'Aktuelle Einnahmen'!A2:G104,6,0),"")</f>
        <v>0</v>
      </c>
      <c r="H870" s="94">
        <f>IFERROR(VLOOKUP($B870,'Aktuelle Einnahmen'!A2:G104,7,0),"")</f>
        <v>0</v>
      </c>
      <c r="I870" s="186" t="e">
        <f>DATE(H870,G870,F870)</f>
        <v>#NUM!</v>
      </c>
      <c r="J870" s="472">
        <f ca="1">J860</f>
        <v>45475</v>
      </c>
      <c r="K870" s="501" t="str">
        <f t="shared" si="294"/>
        <v>+Inflat.-P</v>
      </c>
      <c r="L870" s="1262" t="str">
        <f>IFERROR(VLOOKUP(B870,'Aktuelle Einnahmen'!A22:I124,9,0),"")</f>
        <v>Auswahl treffen</v>
      </c>
      <c r="M870" s="1263"/>
      <c r="N870" s="261"/>
      <c r="O870" s="261"/>
      <c r="P870" s="261"/>
      <c r="Q870" s="261"/>
      <c r="R870" s="189"/>
      <c r="S870" s="190"/>
      <c r="T870" s="190"/>
      <c r="U870" s="191"/>
      <c r="V870" s="192"/>
      <c r="W870" s="190"/>
      <c r="X870" s="190"/>
      <c r="Y870" s="191"/>
      <c r="Z870" s="192"/>
      <c r="AA870" s="190"/>
      <c r="AB870" s="190"/>
      <c r="AC870" s="191"/>
      <c r="AD870" s="192"/>
      <c r="AE870" s="190"/>
      <c r="AF870" s="190"/>
      <c r="AG870" s="191"/>
      <c r="AH870" s="193"/>
      <c r="AI870" s="190"/>
      <c r="AJ870" s="190"/>
      <c r="AK870" s="374"/>
      <c r="AL870" s="348"/>
      <c r="AM870" s="354"/>
      <c r="AN870" s="354"/>
      <c r="AO870" s="354"/>
      <c r="AP870" s="354"/>
      <c r="AQ870" s="350"/>
      <c r="AR870" s="769"/>
      <c r="AS870" s="769"/>
      <c r="AT870" s="769"/>
      <c r="BM870" s="335"/>
    </row>
    <row r="871" spans="1:65" ht="22.25" customHeight="1">
      <c r="A871" s="181">
        <f t="shared" si="290"/>
        <v>45292</v>
      </c>
      <c r="B871" s="484" t="e">
        <f>DAY(I870)</f>
        <v>#NUM!</v>
      </c>
      <c r="C871" s="489" t="s">
        <v>158</v>
      </c>
      <c r="D871" s="520" t="e">
        <f>(I871*4)+J871/3+1</f>
        <v>#NUM!</v>
      </c>
      <c r="E871" s="194" t="e">
        <f>J873+1</f>
        <v>#NUM!</v>
      </c>
      <c r="F871" s="195" t="e">
        <f t="shared" ref="F871:F878" si="301">DAY(E871)</f>
        <v>#NUM!</v>
      </c>
      <c r="G871" s="196" t="e">
        <f t="shared" ref="G871:G878" si="302">MONTH(E871)</f>
        <v>#NUM!</v>
      </c>
      <c r="H871" s="195" t="e">
        <f t="shared" ref="H871:H878" si="303">YEAR(E871)</f>
        <v>#NUM!</v>
      </c>
      <c r="I871" s="197" t="e">
        <f>H871-(H870+2000)</f>
        <v>#NUM!</v>
      </c>
      <c r="J871" s="198" t="e">
        <f>G871-G870</f>
        <v>#NUM!</v>
      </c>
      <c r="K871" s="506" t="str">
        <f>L869</f>
        <v/>
      </c>
      <c r="L871" s="469"/>
      <c r="M871" s="473" t="e">
        <f ca="1">SUM(J870-E872)&amp;" Tage"</f>
        <v>#NUM!</v>
      </c>
      <c r="N871" s="206"/>
      <c r="O871" s="201"/>
      <c r="P871" s="201"/>
      <c r="Q871" s="202"/>
      <c r="R871" s="189"/>
      <c r="S871" s="203"/>
      <c r="T871" s="203"/>
      <c r="U871" s="204"/>
      <c r="V871" s="192"/>
      <c r="W871" s="203"/>
      <c r="X871" s="203"/>
      <c r="Y871" s="204"/>
      <c r="Z871" s="192"/>
      <c r="AA871" s="203"/>
      <c r="AB871" s="203"/>
      <c r="AC871" s="204"/>
      <c r="AD871" s="192"/>
      <c r="AE871" s="203"/>
      <c r="AF871" s="203"/>
      <c r="AG871" s="204"/>
      <c r="AH871" s="193"/>
      <c r="AI871" s="203"/>
      <c r="AJ871" s="203"/>
      <c r="AK871" s="375"/>
      <c r="AL871" s="348"/>
      <c r="AM871" s="354"/>
      <c r="AN871" s="354"/>
      <c r="AO871" s="354"/>
      <c r="AP871" s="354"/>
      <c r="AQ871" s="350"/>
      <c r="AR871" s="769"/>
      <c r="AS871" s="769"/>
      <c r="AT871" s="769"/>
      <c r="BM871" s="335"/>
    </row>
    <row r="872" spans="1:65" ht="22.25" customHeight="1">
      <c r="A872" s="181">
        <f t="shared" si="290"/>
        <v>45292</v>
      </c>
      <c r="B872" s="485"/>
      <c r="C872" s="490"/>
      <c r="D872" s="521"/>
      <c r="E872" s="194" t="e">
        <f>DATE(YEAR(E871),MONTH(E871)+3,DAY(E871)-1)</f>
        <v>#NUM!</v>
      </c>
      <c r="F872" s="195" t="e">
        <f t="shared" si="301"/>
        <v>#NUM!</v>
      </c>
      <c r="G872" s="196" t="e">
        <f t="shared" si="302"/>
        <v>#NUM!</v>
      </c>
      <c r="H872" s="195" t="e">
        <f t="shared" si="303"/>
        <v>#NUM!</v>
      </c>
      <c r="I872" s="244">
        <v>-1</v>
      </c>
      <c r="J872" s="198" t="e">
        <f>F871-F870</f>
        <v>#NUM!</v>
      </c>
      <c r="K872" s="501" t="str">
        <f t="shared" si="294"/>
        <v>+Inflat.-P</v>
      </c>
      <c r="L872" s="511" t="e">
        <f>IF(M869="Stufe A",IF(AND(L870="Auswahl treffen",D871&gt;=0,D871&lt;=1000),J869,IF(AND(L870="Vermögend und ambulant",D871&gt;8,D871&lt;=1000),130,IF(AND(L870="Vermögend und ambulant",D871&gt;4,D871&lt;=8),158,IF(AND(L870="Vermögend und ambulant",D871&gt;2,D871&lt;=4),192,IF(AND(L870="Vermögend und ambulant",D871&gt;1,D871&lt;=2),208,IF(AND(L870="Vermögend und ambulant",D871&gt;0,D871&lt;=1),298,IF(AND(L870="Vermögend und stationär",D871&gt;8,D871&lt;=1000),78,IF(AND(L870="Vermögend und stationär",D871&gt;4,D871&lt;=8),91,IF(AND(L870="Vermögend und stationär",D871&gt;2,D871&lt;=4),140,IF(AND(L870="Vermögend und stationär",D871&gt;1,D871&lt;=2),158,IF(AND(L870="Vermögend und stationär",D871&gt;0,D871&lt;=1),200,IF(AND(L870="Mittellos und ambulant",D871&gt;8,D871&lt;=1000),105,IF(AND(L870="Mittellos und ambulant",D871&gt;4,D871&lt;=8),122,IF(AND(L870="Mittellos und ambulant",D871&gt;2,D871&lt;=4),151,IF(AND(L870="Mittellos und ambulant",D871&gt;1,D871&lt;=2),170,IF(AND(L870="Mittellos und ambulant",D871&gt;0,D871&lt;=1),208,IF(AND(L870="Mittellos und stationär",D871&gt;8,D871&lt;=1000),62,IF(AND(L870="Mittellos und stationär",D871&gt;4,D871&lt;=8),87,IF(AND(L870="Mittellos und stationär",D871&gt;2,D871&lt;=4),124,IF(AND(L870="Mittellos und stationär",D871&gt;1,D871&lt;=2),129,IF(AND(L870="Mittellos und stationär",D871&gt;0,D871&lt;=1),194,""))))))))))))))))))))),IF(M869="Stufe B",IF(AND(L870="Auswahl treffen",D871&gt;=0,D871&lt;=1000),J869,IF(AND(L870="Vermögend und ambulant",D871&gt;8,D871&lt;=1000),161,IF(AND(L870="Vermögend und ambulant",D871&gt;4,D871&lt;=8),196,IF(AND(L870="Vermögend und ambulant",D871&gt;2,D871&lt;=4),238,IF(AND(L870="Vermögend und ambulant",D871&gt;1,D871&lt;=2),258,IF(AND(L870="Vermögend und ambulant",D871&gt;0,D871&lt;=1),370,IF(AND(L870="Vermögend und stationär",D871&gt;8,D871&lt;=1000),96,IF(AND(L870="Vermögend und stationär",D871&gt;4,D871&lt;=8),113,IF(AND(L870="Vermögend und stationär",D871&gt;2,D871&lt;=4),174,IF(AND(L870="Vermögend und stationär",D871&gt;1,D871&lt;=2),196,IF(AND(L870="Vermögend und stationär",D871&gt;0,D871&lt;=1),249,IF(AND(L870="Mittellos und ambulant",D871&gt;8,D871&lt;=1000),130,IF(AND(L870="Mittellos und ambulant",D871&gt;4,D871&lt;=8),151,IF(AND(L870="Mittellos und ambulant",D871&gt;2,D871&lt;=4),188,IF(AND(L870="Mittellos und ambulant",D871&gt;1,D871&lt;=2),211,IF(AND(L870="Mittellos und ambulant",D871&gt;0,D871&lt;=1),258,IF(AND(L870="Mittellos und stationär",D871&gt;8,D871&lt;=1000),78,IF(AND(L870="Mittellos und stationär",D871&gt;4,D871&lt;=8),107,IF(AND(L870="Mittellos und stationär",D871&gt;2,D871&lt;=4),154,IF(AND(L870="Mittellos und stationär",D871&gt;1,D871&lt;=2),158,IF(AND(L870="Mittellos und stationär",D871&gt;0,D871&lt;=1),241,""))))))))))))))))))))),IF(M869="Stufe C",IF(AND(L870="Auswahl treffen",D871&gt;=0,D871&lt;=1000),J869,IF(AND(L870="Vermögend und ambulant",D871&gt;8,D871&lt;=1000),211,IF(AND(L870="Vermögend und ambulant",D871&gt;4,D871&lt;=8),257,IF(AND(L870="Vermögend und ambulant",D871&gt;2,D871&lt;=4),312,IF(AND(L870="Vermögend und ambulant",D871&gt;1,D871&lt;=2),339,IF(AND(L870="Vermögend und ambulant",D871&gt;0,D871&lt;=1),486,IF(AND(L870="Vermögend und stationär",D871&gt;8,D871&lt;=1000),127,IF(AND(L870="Vermögend und stationär",D871&gt;4,D871&lt;=8),149,IF(AND(L870="Vermögend und stationär",D871&gt;2,D871&lt;=4),229,IF(AND(L870="Vermögend und stationär",D871&gt;1,D871&lt;=2),257,IF(AND(L870="Vermögend und stationär",D871&gt;0,D871&lt;=1),327,IF(AND(L870="Mittellos und ambulant",D871&gt;8,D871&lt;=1000),171,IF(AND(L870="Mittellos und ambulant",D871&gt;4,D871&lt;=8),198,IF(AND(L870="Mittellos und ambulant",D871&gt;2,D871&lt;=4),246,IF(AND(L870="Mittellos und ambulant",D871&gt;1,D871&lt;=2),277,IF(AND(L870="Mittellos und ambulant",D871&gt;0,D871&lt;=1),339,IF(AND(L870="Mittellos und stationär",D871&gt;8,D871&lt;=1000),102,IF(AND(L870="Mittellos und stationär",D871&gt;4,D871&lt;=8),141,IF(AND(L870="Mittellos und stationär",D871&gt;2,D871&lt;=4),202,IF(AND(L870="Mittellos und stationär",D871&gt;1,D871&lt;=2),208,IF(AND(L870="Mittellos und stationär",D871&gt;0,D871&lt;=1),317,""))))))))))))))))))))),"")))*3+(J869*90)</f>
        <v>#NUM!</v>
      </c>
      <c r="M872" s="507" t="str">
        <f>CONCATENATE(K872, K871)</f>
        <v>+Inflat.-P</v>
      </c>
      <c r="N872" s="206" t="s">
        <v>118</v>
      </c>
      <c r="O872" s="207"/>
      <c r="P872" s="207"/>
      <c r="Q872" s="208"/>
      <c r="R872" s="187"/>
      <c r="S872" s="209" t="s">
        <v>118</v>
      </c>
      <c r="T872" s="201" t="s">
        <v>117</v>
      </c>
      <c r="U872" s="210" t="s">
        <v>26</v>
      </c>
      <c r="V872" s="192"/>
      <c r="W872" s="203"/>
      <c r="X872" s="203"/>
      <c r="Y872" s="210"/>
      <c r="Z872" s="192"/>
      <c r="AA872" s="203"/>
      <c r="AB872" s="203"/>
      <c r="AC872" s="210"/>
      <c r="AD872" s="192"/>
      <c r="AE872" s="203"/>
      <c r="AF872" s="203"/>
      <c r="AG872" s="210"/>
      <c r="AH872" s="193"/>
      <c r="AI872" s="203"/>
      <c r="AJ872" s="203"/>
      <c r="AK872" s="376"/>
      <c r="AL872" s="348" t="s">
        <v>148</v>
      </c>
      <c r="AM872" s="354">
        <f>IF(SUM(N870:N878)=SUM(S870:S878), 0, SUM(N870:N878)-SUM(S870:S878))</f>
        <v>0</v>
      </c>
      <c r="AN872" s="354"/>
      <c r="AO872" s="354"/>
      <c r="AP872" s="354"/>
      <c r="AQ872" s="350">
        <f>AM872+AN872+AO872+AP872</f>
        <v>0</v>
      </c>
      <c r="AR872" s="769"/>
      <c r="AS872" s="769"/>
      <c r="AT872" s="769"/>
      <c r="BM872" s="335"/>
    </row>
    <row r="873" spans="1:65" ht="22.25" customHeight="1">
      <c r="A873" s="181">
        <f t="shared" si="290"/>
        <v>45292</v>
      </c>
      <c r="B873" s="484" t="e">
        <f>MONTH(I870)</f>
        <v>#NUM!</v>
      </c>
      <c r="C873" s="489" t="s">
        <v>158</v>
      </c>
      <c r="D873" s="522" t="e">
        <f>D871+1</f>
        <v>#NUM!</v>
      </c>
      <c r="E873" s="211" t="e">
        <f>DATE(YEAR(E872),MONTH(E872),DAY(E872)+1)</f>
        <v>#NUM!</v>
      </c>
      <c r="F873" s="212" t="e">
        <f t="shared" si="301"/>
        <v>#NUM!</v>
      </c>
      <c r="G873" s="213" t="e">
        <f t="shared" si="302"/>
        <v>#NUM!</v>
      </c>
      <c r="H873" s="212" t="e">
        <f t="shared" si="303"/>
        <v>#NUM!</v>
      </c>
      <c r="I873" s="214" t="str">
        <f>IF(D870&lt;&gt;0,"-1T","")</f>
        <v/>
      </c>
      <c r="J873" s="215" t="e">
        <f>DATE($B875,I874,$B871)</f>
        <v>#NUM!</v>
      </c>
      <c r="K873" s="501" t="str">
        <f t="shared" si="294"/>
        <v/>
      </c>
      <c r="L873" s="470"/>
      <c r="M873" s="473" t="e">
        <f ca="1">SUM(J870-E874)&amp;" Tage"</f>
        <v>#NUM!</v>
      </c>
      <c r="N873" s="216"/>
      <c r="O873" s="217"/>
      <c r="P873" s="188"/>
      <c r="Q873" s="217"/>
      <c r="R873" s="189"/>
      <c r="S873" s="190"/>
      <c r="T873" s="190"/>
      <c r="U873" s="191"/>
      <c r="V873" s="192"/>
      <c r="W873" s="190"/>
      <c r="X873" s="190"/>
      <c r="Y873" s="191"/>
      <c r="Z873" s="192"/>
      <c r="AA873" s="190"/>
      <c r="AB873" s="190"/>
      <c r="AC873" s="191"/>
      <c r="AD873" s="192"/>
      <c r="AE873" s="190"/>
      <c r="AF873" s="190"/>
      <c r="AG873" s="191"/>
      <c r="AH873" s="193"/>
      <c r="AI873" s="190"/>
      <c r="AJ873" s="190"/>
      <c r="AK873" s="374"/>
      <c r="AL873" s="348"/>
      <c r="AM873" s="354"/>
      <c r="AN873" s="354"/>
      <c r="AO873" s="354"/>
      <c r="AP873" s="354"/>
      <c r="AQ873" s="350"/>
      <c r="AR873" s="769"/>
      <c r="AS873" s="769"/>
      <c r="AT873" s="769"/>
      <c r="BM873" s="335"/>
    </row>
    <row r="874" spans="1:65" ht="22.25" customHeight="1">
      <c r="A874" s="181">
        <f t="shared" si="290"/>
        <v>45292</v>
      </c>
      <c r="B874" s="485"/>
      <c r="C874" s="490"/>
      <c r="D874" s="521"/>
      <c r="E874" s="218" t="e">
        <f>DATE(YEAR(E873),MONTH(E873)+3,DAY(E873)-1)</f>
        <v>#NUM!</v>
      </c>
      <c r="F874" s="212" t="e">
        <f t="shared" si="301"/>
        <v>#NUM!</v>
      </c>
      <c r="G874" s="213" t="e">
        <f t="shared" si="302"/>
        <v>#NUM!</v>
      </c>
      <c r="H874" s="212" t="e">
        <f t="shared" si="303"/>
        <v>#NUM!</v>
      </c>
      <c r="I874" s="219">
        <f>MAX(I875:I878)</f>
        <v>9</v>
      </c>
      <c r="J874" s="220" t="e">
        <f>DATE(YEAR(J873)+1,MONTH(J873),DAY(J873))</f>
        <v>#NUM!</v>
      </c>
      <c r="K874" s="506" t="str">
        <f t="shared" si="294"/>
        <v>+Inflat.-P</v>
      </c>
      <c r="L874" s="508" t="e">
        <f>IF(M869="Stufe A",IF(AND(L870="Auswahl treffen",D873&gt;=0,D873&lt;=1000),J869,IF(AND(L870="Vermögend und ambulant",D873&gt;8,D873&lt;=1000),130,IF(AND(L870="Vermögend und ambulant",D873&gt;4,D873&lt;=8),158,IF(AND(L870="Vermögend und ambulant",D873&gt;2,D873&lt;=4),192,IF(AND(L870="Vermögend und ambulant",D873&gt;1,D873&lt;=2),208,IF(AND(L870="Vermögend und ambulant",D873&gt;0,D873&lt;=1),298,IF(AND(L870="Vermögend und stationär",D873&gt;8,D873&lt;=1000),78,IF(AND(L870="Vermögend und stationär",D873&gt;4,D873&lt;=8),91,IF(AND(L870="Vermögend und stationär",D873&gt;2,D873&lt;=4),140,IF(AND(L870="Vermögend und stationär",D873&gt;1,D873&lt;=2),158,IF(AND(L870="Vermögend und stationär",D873&gt;0,D873&lt;=1),200,IF(AND(L870="Mittellos und ambulant",D873&gt;8,D873&lt;=1000),105,IF(AND(L870="Mittellos und ambulant",D873&gt;4,D873&lt;=8),122,IF(AND(L870="Mittellos und ambulant",D873&gt;2,D873&lt;=4),151,IF(AND(L870="Mittellos und ambulant",D873&gt;1,D873&lt;=2),170,IF(AND(L870="Mittellos und ambulant",D873&gt;0,D873&lt;=1),208,IF(AND(L870="Mittellos und stationär",D873&gt;8,D873&lt;=1000),62,IF(AND(L870="Mittellos und stationär",D873&gt;4,D873&lt;=8),87,IF(AND(L870="Mittellos und stationär",D873&gt;2,D873&lt;=4),124,IF(AND(L870="Mittellos und stationär",D873&gt;1,D873&lt;=2),129,IF(AND(L870="Mittellos und stationär",D873&gt;0,D873&lt;=1),194,""))))))))))))))))))))),IF(M869="Stufe B",IF(AND(L870="Auswahl treffen",D873&gt;=0,D873&lt;=1000),J869,IF(AND(L870="Vermögend und ambulant",D873&gt;8,D873&lt;=1000),161,IF(AND(L870="Vermögend und ambulant",D873&gt;4,D873&lt;=8),196,IF(AND(L870="Vermögend und ambulant",D873&gt;2,D873&lt;=4),238,IF(AND(L870="Vermögend und ambulant",D873&gt;1,D873&lt;=2),258,IF(AND(L870="Vermögend und ambulant",D873&gt;0,D873&lt;=1),370,IF(AND(L870="Vermögend und stationär",D873&gt;8,D873&lt;=1000),96,IF(AND(L870="Vermögend und stationär",D873&gt;4,D873&lt;=8),113,IF(AND(L870="Vermögend und stationär",D873&gt;2,D873&lt;=4),174,IF(AND(L870="Vermögend und stationär",D873&gt;1,D873&lt;=2),196,IF(AND(L870="Vermögend und stationär",D873&gt;0,D873&lt;=1),249,IF(AND(L870="Mittellos und ambulant",D873&gt;8,D873&lt;=1000),130,IF(AND(L870="Mittellos und ambulant",D873&gt;4,D873&lt;=8),151,IF(AND(L870="Mittellos und ambulant",D873&gt;2,D873&lt;=4),188,IF(AND(L870="Mittellos und ambulant",D873&gt;1,D873&lt;=2),211,IF(AND(L870="Mittellos und ambulant",D873&gt;0,D873&lt;=1),258,IF(AND(L870="Mittellos und stationär",D873&gt;8,D873&lt;=1000),78,IF(AND(L870="Mittellos und stationär",D873&gt;4,D873&lt;=8),107,IF(AND(L870="Mittellos und stationär",D873&gt;2,D873&lt;=4),154,IF(AND(L870="Mittellos und stationär",D873&gt;1,D873&lt;=2),158,IF(AND(L870="Mittellos und stationär",D873&gt;0,D873&lt;=1),241,""))))))))))))))))))))),IF(M869="Stufe C",IF(AND(L870="Auswahl treffen",D873&gt;=0,D873&lt;=1000),J869,IF(AND(L870="Vermögend und ambulant",D873&gt;8,D873&lt;=1000),211,IF(AND(L870="Vermögend und ambulant",D873&gt;4,D873&lt;=8),257,IF(AND(L870="Vermögend und ambulant",D873&gt;2,D873&lt;=4),312,IF(AND(L870="Vermögend und ambulant",D873&gt;1,D873&lt;=2),339,IF(AND(L870="Vermögend und ambulant",D873&gt;0,D873&lt;=1),486,IF(AND(L870="Vermögend und stationär",D873&gt;8,D873&lt;=1000),127,IF(AND(L870="Vermögend und stationär",D873&gt;4,D873&lt;=8),149,IF(AND(L870="Vermögend und stationär",D873&gt;2,D873&lt;=4),229,IF(AND(L870="Vermögend und stationär",D873&gt;1,D873&lt;=2),257,IF(AND(L870="Vermögend und stationär",D873&gt;0,D873&lt;=1),327,IF(AND(L870="Mittellos und ambulant",D873&gt;8,D873&lt;=1000),171,IF(AND(L870="Mittellos und ambulant",D873&gt;4,D873&lt;=8),198,IF(AND(L870="Mittellos und ambulant",D873&gt;2,D873&lt;=4),246,IF(AND(L870="Mittellos und ambulant",D873&gt;1,D873&lt;=2),277,IF(AND(L870="Mittellos und ambulant",D873&gt;0,D873&lt;=1),339,IF(AND(L870="Mittellos und stationär",D873&gt;8,D873&lt;=1000),102,IF(AND(L870="Mittellos und stationär",D873&gt;4,D873&lt;=8),141,IF(AND(L870="Mittellos und stationär",D873&gt;2,D873&lt;=4),202,IF(AND(L870="Mittellos und stationär",D873&gt;1,D873&lt;=2),208,IF(AND(L870="Mittellos und stationär",D873&gt;0,D873&lt;=1),317,""))))))))))))))))))))),"")))*3+(J869*90)</f>
        <v>#NUM!</v>
      </c>
      <c r="M874" s="507" t="str">
        <f>CONCATENATE(K874, K873)</f>
        <v>+Inflat.-P</v>
      </c>
      <c r="N874" s="216"/>
      <c r="O874" s="188" t="s">
        <v>118</v>
      </c>
      <c r="P874" s="188"/>
      <c r="Q874" s="221"/>
      <c r="R874" s="199"/>
      <c r="S874" s="190"/>
      <c r="T874" s="190"/>
      <c r="U874" s="191"/>
      <c r="V874" s="192"/>
      <c r="W874" s="222" t="s">
        <v>118</v>
      </c>
      <c r="X874" s="222" t="s">
        <v>117</v>
      </c>
      <c r="Y874" s="191" t="s">
        <v>26</v>
      </c>
      <c r="Z874" s="192"/>
      <c r="AA874" s="190"/>
      <c r="AB874" s="190"/>
      <c r="AC874" s="191"/>
      <c r="AD874" s="192"/>
      <c r="AE874" s="190"/>
      <c r="AF874" s="190"/>
      <c r="AG874" s="191"/>
      <c r="AH874" s="193"/>
      <c r="AI874" s="190"/>
      <c r="AJ874" s="190"/>
      <c r="AK874" s="374"/>
      <c r="AL874" s="348" t="s">
        <v>149</v>
      </c>
      <c r="AM874" s="354"/>
      <c r="AN874" s="354">
        <f>IF(SUM(O870:O878)=SUM(W870:W878), 0, SUM(O870:O878)-SUM(W870:W878))</f>
        <v>0</v>
      </c>
      <c r="AO874" s="354"/>
      <c r="AP874" s="354"/>
      <c r="AQ874" s="350">
        <f>AM874+AN874+AO874+AP874</f>
        <v>0</v>
      </c>
      <c r="AR874" s="769"/>
      <c r="AS874" s="769"/>
      <c r="AT874" s="769"/>
      <c r="BM874" s="335"/>
    </row>
    <row r="875" spans="1:65" ht="22.25" customHeight="1">
      <c r="A875" s="181">
        <f t="shared" si="290"/>
        <v>45292</v>
      </c>
      <c r="B875" s="484">
        <f>YEAR($A876)-1</f>
        <v>2023</v>
      </c>
      <c r="C875" s="489" t="s">
        <v>158</v>
      </c>
      <c r="D875" s="520" t="e">
        <f>D873+1</f>
        <v>#NUM!</v>
      </c>
      <c r="E875" s="194" t="e">
        <f>DATE(YEAR(E874),MONTH(E874),DAY(E874)+1)</f>
        <v>#NUM!</v>
      </c>
      <c r="F875" s="195" t="e">
        <f t="shared" si="301"/>
        <v>#NUM!</v>
      </c>
      <c r="G875" s="196" t="e">
        <f t="shared" si="302"/>
        <v>#NUM!</v>
      </c>
      <c r="H875" s="195" t="e">
        <f t="shared" si="303"/>
        <v>#NUM!</v>
      </c>
      <c r="I875" s="197">
        <f>IF(J877&lt;13,J877,"")</f>
        <v>9</v>
      </c>
      <c r="J875" s="224">
        <f>G870</f>
        <v>0</v>
      </c>
      <c r="K875" s="501" t="str">
        <f t="shared" si="294"/>
        <v/>
      </c>
      <c r="L875" s="471"/>
      <c r="M875" s="473" t="e">
        <f ca="1">SUM(J870-E876)&amp;" Tage"</f>
        <v>#NUM!</v>
      </c>
      <c r="N875" s="200"/>
      <c r="O875" s="201"/>
      <c r="P875" s="201"/>
      <c r="Q875" s="202"/>
      <c r="R875" s="189"/>
      <c r="S875" s="203"/>
      <c r="T875" s="203"/>
      <c r="U875" s="204"/>
      <c r="V875" s="192"/>
      <c r="W875" s="203"/>
      <c r="X875" s="203"/>
      <c r="Y875" s="204"/>
      <c r="Z875" s="192"/>
      <c r="AA875" s="203"/>
      <c r="AB875" s="203"/>
      <c r="AC875" s="204"/>
      <c r="AD875" s="192"/>
      <c r="AE875" s="203"/>
      <c r="AF875" s="203"/>
      <c r="AG875" s="204"/>
      <c r="AH875" s="193"/>
      <c r="AI875" s="203"/>
      <c r="AJ875" s="203"/>
      <c r="AK875" s="375"/>
      <c r="AL875" s="348"/>
      <c r="AM875" s="354"/>
      <c r="AN875" s="354"/>
      <c r="AO875" s="354"/>
      <c r="AP875" s="354"/>
      <c r="AQ875" s="350"/>
      <c r="AR875" s="769"/>
      <c r="AS875" s="769"/>
      <c r="AT875" s="769"/>
      <c r="BM875" s="335"/>
    </row>
    <row r="876" spans="1:65" ht="22.25" customHeight="1">
      <c r="A876" s="181">
        <f t="shared" si="290"/>
        <v>45292</v>
      </c>
      <c r="B876" s="485"/>
      <c r="C876" s="490"/>
      <c r="D876" s="521"/>
      <c r="E876" s="194" t="e">
        <f>DATE(YEAR(E875),MONTH(E875)+3,DAY(E875)-1)</f>
        <v>#NUM!</v>
      </c>
      <c r="F876" s="195" t="e">
        <f t="shared" si="301"/>
        <v>#NUM!</v>
      </c>
      <c r="G876" s="196" t="e">
        <f t="shared" si="302"/>
        <v>#NUM!</v>
      </c>
      <c r="H876" s="195" t="e">
        <f t="shared" si="303"/>
        <v>#NUM!</v>
      </c>
      <c r="I876" s="244">
        <f>IF(J878&lt;13,J878,"")</f>
        <v>6</v>
      </c>
      <c r="J876" s="224">
        <f>J875+3</f>
        <v>3</v>
      </c>
      <c r="K876" s="506" t="str">
        <f t="shared" si="294"/>
        <v>+Inflat.-P</v>
      </c>
      <c r="L876" s="511" t="e">
        <f>IF(M869="Stufe A",IF(AND(L870="Auswahl treffen",D875&gt;=0,D875&lt;=1000),J869,IF(AND(L870="Vermögend und ambulant",D875&gt;8,D875&lt;=1000),130,IF(AND(L870="Vermögend und ambulant",D875&gt;4,D875&lt;=8),158,IF(AND(L870="Vermögend und ambulant",D875&gt;2,D875&lt;=4),192,IF(AND(L870="Vermögend und ambulant",D875&gt;1,D875&lt;=2),208,IF(AND(L870="Vermögend und ambulant",D875&gt;0,D875&lt;=1),298,IF(AND(L870="Vermögend und stationär",D875&gt;8,D875&lt;=1000),78,IF(AND(L870="Vermögend und stationär",D875&gt;4,D875&lt;=8),91,IF(AND(L870="Vermögend und stationär",D875&gt;2,D875&lt;=4),140,IF(AND(L870="Vermögend und stationär",D875&gt;1,D875&lt;=2),158,IF(AND(L870="Vermögend und stationär",D875&gt;0,D875&lt;=1),200,IF(AND(L870="Mittellos und ambulant",D875&gt;8,D875&lt;=1000),105,IF(AND(L870="Mittellos und ambulant",D875&gt;4,D875&lt;=8),122,IF(AND(L870="Mittellos und ambulant",D875&gt;2,D875&lt;=4),151,IF(AND(L870="Mittellos und ambulant",D875&gt;1,D875&lt;=2),170,IF(AND(L870="Mittellos und ambulant",D875&gt;0,D875&lt;=1),208,IF(AND(L870="Mittellos und stationär",D875&gt;8,D875&lt;=1000),62,IF(AND(L870="Mittellos und stationär",D875&gt;4,D875&lt;=8),87,IF(AND(L870="Mittellos und stationär",D875&gt;2,D875&lt;=4),124,IF(AND(L870="Mittellos und stationär",D875&gt;1,D875&lt;=2),129,IF(AND(L870="Mittellos und stationär",D875&gt;0,D875&lt;=1),194,""))))))))))))))))))))),IF(M869="Stufe B",IF(AND(L870="Auswahl treffen",D875&gt;=0,D875&lt;=1000),J869,IF(AND(L870="Vermögend und ambulant",D875&gt;8,D875&lt;=1000),161,IF(AND(L870="Vermögend und ambulant",D875&gt;4,D875&lt;=8),196,IF(AND(L870="Vermögend und ambulant",D875&gt;2,D875&lt;=4),238,IF(AND(L870="Vermögend und ambulant",D875&gt;1,D875&lt;=2),258,IF(AND(L870="Vermögend und ambulant",D875&gt;0,D875&lt;=1),370,IF(AND(L870="Vermögend und stationär",D875&gt;8,D875&lt;=1000),96,IF(AND(L870="Vermögend und stationär",D875&gt;4,D875&lt;=8),113,IF(AND(L870="Vermögend und stationär",D875&gt;2,D875&lt;=4),174,IF(AND(L870="Vermögend und stationär",D875&gt;1,D875&lt;=2),196,IF(AND(L870="Vermögend und stationär",D875&gt;0,D875&lt;=1),249,IF(AND(L870="Mittellos und ambulant",D875&gt;8,D875&lt;=1000),130,IF(AND(L870="Mittellos und ambulant",D875&gt;4,D875&lt;=8),151,IF(AND(L870="Mittellos und ambulant",D875&gt;2,D875&lt;=4),188,IF(AND(L870="Mittellos und ambulant",D875&gt;1,D875&lt;=2),211,IF(AND(L870="Mittellos und ambulant",D875&gt;0,D875&lt;=1),258,IF(AND(L870="Mittellos und stationär",D875&gt;8,D875&lt;=1000),78,IF(AND(L870="Mittellos und stationär",D875&gt;4,D875&lt;=8),107,IF(AND(L870="Mittellos und stationär",D875&gt;2,D875&lt;=4),154,IF(AND(L870="Mittellos und stationär",D875&gt;1,D875&lt;=2),158,IF(AND(L870="Mittellos und stationär",D875&gt;0,D875&lt;=1),241,""))))))))))))))))))))),IF(M869="Stufe C",IF(AND(L870="Auswahl treffen",D875&gt;=0,D875&lt;=1000),J869,IF(AND(L870="Vermögend und ambulant",D875&gt;8,D875&lt;=1000),211,IF(AND(L870="Vermögend und ambulant",D875&gt;4,D875&lt;=8),257,IF(AND(L870="Vermögend und ambulant",D875&gt;2,D875&lt;=4),312,IF(AND(L870="Vermögend und ambulant",D875&gt;1,D875&lt;=2),339,IF(AND(L870="Vermögend und ambulant",D875&gt;0,D875&lt;=1),486,IF(AND(L870="Vermögend und stationär",D875&gt;8,D875&lt;=1000),127,IF(AND(L870="Vermögend und stationär",D875&gt;4,D875&lt;=8),149,IF(AND(L870="Vermögend und stationär",D875&gt;2,D875&lt;=4),229,IF(AND(L870="Vermögend und stationär",D875&gt;1,D875&lt;=2),257,IF(AND(L870="Vermögend und stationär",D875&gt;0,D875&lt;=1),327,IF(AND(L870="Mittellos und ambulant",D875&gt;8,D875&lt;=1000),171,IF(AND(L870="Mittellos und ambulant",D875&gt;4,D875&lt;=8),198,IF(AND(L870="Mittellos und ambulant",D875&gt;2,D875&lt;=4),246,IF(AND(L870="Mittellos und ambulant",D875&gt;1,D875&lt;=2),277,IF(AND(L870="Mittellos und ambulant",D875&gt;0,D875&lt;=1),339,IF(AND(L870="Mittellos und stationär",D875&gt;8,D875&lt;=1000),102,IF(AND(L870="Mittellos und stationär",D875&gt;4,D875&lt;=8),141,IF(AND(L870="Mittellos und stationär",D875&gt;2,D875&lt;=4),202,IF(AND(L870="Mittellos und stationär",D875&gt;1,D875&lt;=2),208,IF(AND(L870="Mittellos und stationär",D875&gt;0,D875&lt;=1),317,""))))))))))))))))))))),"")))*3+(J869*90)</f>
        <v>#NUM!</v>
      </c>
      <c r="M876" s="507" t="str">
        <f>CONCATENATE(K876, K875)</f>
        <v>+Inflat.-P</v>
      </c>
      <c r="N876" s="206"/>
      <c r="O876" s="207"/>
      <c r="P876" s="206" t="s">
        <v>118</v>
      </c>
      <c r="Q876" s="226"/>
      <c r="R876" s="189"/>
      <c r="S876" s="203"/>
      <c r="T876" s="203"/>
      <c r="U876" s="204"/>
      <c r="V876" s="192"/>
      <c r="W876" s="203"/>
      <c r="X876" s="203"/>
      <c r="Y876" s="204"/>
      <c r="Z876" s="192"/>
      <c r="AA876" s="209" t="s">
        <v>118</v>
      </c>
      <c r="AB876" s="209" t="s">
        <v>117</v>
      </c>
      <c r="AC876" s="204" t="s">
        <v>26</v>
      </c>
      <c r="AD876" s="192"/>
      <c r="AE876" s="203"/>
      <c r="AF876" s="203"/>
      <c r="AG876" s="204"/>
      <c r="AH876" s="193"/>
      <c r="AI876" s="203"/>
      <c r="AJ876" s="203"/>
      <c r="AK876" s="375"/>
      <c r="AL876" s="348" t="s">
        <v>150</v>
      </c>
      <c r="AM876" s="354"/>
      <c r="AN876" s="354"/>
      <c r="AO876" s="354">
        <f>IF(SUM(P870:P878)=SUM(AA870:AA878), 0, SUM(P870:P878)-SUM(AA870:AA878))</f>
        <v>0</v>
      </c>
      <c r="AP876" s="354"/>
      <c r="AQ876" s="350">
        <f>AM876+AN876+AO876+AP876</f>
        <v>0</v>
      </c>
      <c r="AR876" s="769"/>
      <c r="AS876" s="769"/>
      <c r="AT876" s="769"/>
      <c r="BM876" s="335"/>
    </row>
    <row r="877" spans="1:65" ht="22.25" customHeight="1">
      <c r="A877" s="181">
        <f t="shared" si="290"/>
        <v>45292</v>
      </c>
      <c r="B877" s="486"/>
      <c r="C877" s="489" t="s">
        <v>158</v>
      </c>
      <c r="D877" s="522" t="e">
        <f>D875+1</f>
        <v>#NUM!</v>
      </c>
      <c r="E877" s="211" t="e">
        <f>DATE(YEAR(E876),MONTH(E876),DAY(E876)+1)</f>
        <v>#NUM!</v>
      </c>
      <c r="F877" s="227" t="e">
        <f t="shared" si="301"/>
        <v>#NUM!</v>
      </c>
      <c r="G877" s="228" t="e">
        <f t="shared" si="302"/>
        <v>#NUM!</v>
      </c>
      <c r="H877" s="227" t="e">
        <f t="shared" si="303"/>
        <v>#NUM!</v>
      </c>
      <c r="I877" s="231">
        <f>IF(J876&lt;13,J876,"")</f>
        <v>3</v>
      </c>
      <c r="J877" s="230">
        <f>J878+3</f>
        <v>9</v>
      </c>
      <c r="K877" s="501" t="str">
        <f t="shared" si="294"/>
        <v/>
      </c>
      <c r="L877" s="471"/>
      <c r="M877" s="473" t="e">
        <f ca="1">SUM(J870-E878)&amp;" Tage"</f>
        <v>#NUM!</v>
      </c>
      <c r="N877" s="216"/>
      <c r="O877" s="188"/>
      <c r="P877" s="188"/>
      <c r="Q877" s="217"/>
      <c r="R877" s="189"/>
      <c r="S877" s="190"/>
      <c r="T877" s="190"/>
      <c r="U877" s="191"/>
      <c r="V877" s="192"/>
      <c r="W877" s="190"/>
      <c r="X877" s="190"/>
      <c r="Y877" s="191"/>
      <c r="Z877" s="192"/>
      <c r="AA877" s="190"/>
      <c r="AB877" s="190"/>
      <c r="AC877" s="191"/>
      <c r="AD877" s="192"/>
      <c r="AE877" s="190"/>
      <c r="AF877" s="190"/>
      <c r="AG877" s="191"/>
      <c r="AH877" s="193"/>
      <c r="AI877" s="190"/>
      <c r="AJ877" s="190"/>
      <c r="AK877" s="374"/>
      <c r="AL877" s="348"/>
      <c r="AM877" s="354"/>
      <c r="AN877" s="354"/>
      <c r="AO877" s="354"/>
      <c r="AP877" s="354"/>
      <c r="AQ877" s="350"/>
      <c r="AR877" s="769"/>
      <c r="AS877" s="769"/>
      <c r="AT877" s="769"/>
      <c r="BM877" s="335"/>
    </row>
    <row r="878" spans="1:65" ht="22.25" customHeight="1">
      <c r="A878" s="181">
        <f t="shared" si="290"/>
        <v>45292</v>
      </c>
      <c r="B878" s="485"/>
      <c r="C878" s="490"/>
      <c r="D878" s="521"/>
      <c r="E878" s="218" t="e">
        <f>DATE(YEAR(E877),MONTH(E877)+3,DAY(E877)-1)</f>
        <v>#NUM!</v>
      </c>
      <c r="F878" s="227" t="e">
        <f t="shared" si="301"/>
        <v>#NUM!</v>
      </c>
      <c r="G878" s="228" t="e">
        <f t="shared" si="302"/>
        <v>#NUM!</v>
      </c>
      <c r="H878" s="227" t="e">
        <f t="shared" si="303"/>
        <v>#NUM!</v>
      </c>
      <c r="I878" s="231">
        <f>IF(J875&lt;13,J875,"")</f>
        <v>0</v>
      </c>
      <c r="J878" s="230">
        <f>J876+3</f>
        <v>6</v>
      </c>
      <c r="K878" s="506" t="str">
        <f t="shared" si="294"/>
        <v>+Inflat.-P</v>
      </c>
      <c r="L878" s="508" t="e">
        <f>IF(M869="Stufe A",IF(AND(L870="Auswahl treffen",D877&gt;=0,D877&lt;=1000),J869,IF(AND(L870="Vermögend und ambulant",D877&gt;8,D877&lt;=1000),130,IF(AND(L870="Vermögend und ambulant",D877&gt;4,D877&lt;=8),158,IF(AND(L870="Vermögend und ambulant",D877&gt;2,D877&lt;=4),192,IF(AND(L870="Vermögend und ambulant",D877&gt;1,D877&lt;=2),208,IF(AND(L870="Vermögend und ambulant",D877&gt;0,D877&lt;=1),298,IF(AND(L870="Vermögend und stationär",D877&gt;8,D877&lt;=1000),78,IF(AND(L870="Vermögend und stationär",D877&gt;4,D877&lt;=8),91,IF(AND(L870="Vermögend und stationär",D877&gt;2,D877&lt;=4),140,IF(AND(L870="Vermögend und stationär",D877&gt;1,D877&lt;=2),158,IF(AND(L870="Vermögend und stationär",D877&gt;0,D877&lt;=1),200,IF(AND(L870="Mittellos und ambulant",D877&gt;8,D877&lt;=1000),105,IF(AND(L870="Mittellos und ambulant",D877&gt;4,D877&lt;=8),122,IF(AND(L870="Mittellos und ambulant",D877&gt;2,D877&lt;=4),151,IF(AND(L870="Mittellos und ambulant",D877&gt;1,D877&lt;=2),170,IF(AND(L870="Mittellos und ambulant",D877&gt;0,D877&lt;=1),208,IF(AND(L870="Mittellos und stationär",D877&gt;8,D877&lt;=1000),62,IF(AND(L870="Mittellos und stationär",D877&gt;4,D877&lt;=8),87,IF(AND(L870="Mittellos und stationär",D877&gt;2,D877&lt;=4),124,IF(AND(L870="Mittellos und stationär",D877&gt;1,D877&lt;=2),129,IF(AND(L870="Mittellos und stationär",D877&gt;0,D877&lt;=1),194,""))))))))))))))))))))),IF(M869="Stufe B",IF(AND(L870="Auswahl treffen",D877&gt;=0,D877&lt;=1000),J869,IF(AND(L870="Vermögend und ambulant",D877&gt;8,D877&lt;=1000),161,IF(AND(L870="Vermögend und ambulant",D877&gt;4,D877&lt;=8),196,IF(AND(L870="Vermögend und ambulant",D877&gt;2,D877&lt;=4),238,IF(AND(L870="Vermögend und ambulant",D877&gt;1,D877&lt;=2),258,IF(AND(L870="Vermögend und ambulant",D877&gt;0,D877&lt;=1),370,IF(AND(L870="Vermögend und stationär",D877&gt;8,D877&lt;=1000),96,IF(AND(L870="Vermögend und stationär",D877&gt;4,D877&lt;=8),113,IF(AND(L870="Vermögend und stationär",D877&gt;2,D877&lt;=4),174,IF(AND(L870="Vermögend und stationär",D877&gt;1,D877&lt;=2),196,IF(AND(L870="Vermögend und stationär",D877&gt;0,D877&lt;=1),249,IF(AND(L870="Mittellos und ambulant",D877&gt;8,D877&lt;=1000),130,IF(AND(L870="Mittellos und ambulant",D877&gt;4,D877&lt;=8),151,IF(AND(L870="Mittellos und ambulant",D877&gt;2,D877&lt;=4),188,IF(AND(L870="Mittellos und ambulant",D877&gt;1,D877&lt;=2),211,IF(AND(L870="Mittellos und ambulant",D877&gt;0,D877&lt;=1),258,IF(AND(L870="Mittellos und stationär",D877&gt;8,D877&lt;=1000),78,IF(AND(L870="Mittellos und stationär",D877&gt;4,D877&lt;=8),107,IF(AND(L870="Mittellos und stationär",D877&gt;2,D877&lt;=4),154,IF(AND(L870="Mittellos und stationär",D877&gt;1,D877&lt;=2),158,IF(AND(L870="Mittellos und stationär",D877&gt;0,D877&lt;=1),241,""))))))))))))))))))))),IF(M869="Stufe C",IF(AND(L870="Auswahl treffen",D877&gt;=0,D877&lt;=1000),J869,IF(AND(L870="Vermögend und ambulant",D877&gt;8,D877&lt;=1000),211,IF(AND(L870="Vermögend und ambulant",D877&gt;4,D877&lt;=8),257,IF(AND(L870="Vermögend und ambulant",D877&gt;2,D877&lt;=4),312,IF(AND(L870="Vermögend und ambulant",D877&gt;1,D877&lt;=2),339,IF(AND(L870="Vermögend und ambulant",D877&gt;0,D877&lt;=1),486,IF(AND(L870="Vermögend und stationär",D877&gt;8,D877&lt;=1000),127,IF(AND(L870="Vermögend und stationär",D877&gt;4,D877&lt;=8),149,IF(AND(L870="Vermögend und stationär",D877&gt;2,D877&lt;=4),229,IF(AND(L870="Vermögend und stationär",D877&gt;1,D877&lt;=2),257,IF(AND(L870="Vermögend und stationär",D877&gt;0,D877&lt;=1),327,IF(AND(L870="Mittellos und ambulant",D877&gt;8,D877&lt;=1000),171,IF(AND(L870="Mittellos und ambulant",D877&gt;4,D877&lt;=8),198,IF(AND(L870="Mittellos und ambulant",D877&gt;2,D877&lt;=4),246,IF(AND(L870="Mittellos und ambulant",D877&gt;1,D877&lt;=2),277,IF(AND(L870="Mittellos und ambulant",D877&gt;0,D877&lt;=1),339,IF(AND(L870="Mittellos und stationär",D877&gt;8,D877&lt;=1000),102,IF(AND(L870="Mittellos und stationär",D877&gt;4,D877&lt;=8),141,IF(AND(L870="Mittellos und stationär",D877&gt;2,D877&lt;=4),202,IF(AND(L870="Mittellos und stationär",D877&gt;1,D877&lt;=2),208,IF(AND(L870="Mittellos und stationär",D877&gt;0,D877&lt;=1),317,""))))))))))))))))))))),"")))*3+(J869*90)</f>
        <v>#NUM!</v>
      </c>
      <c r="M878" s="507" t="str">
        <f>CONCATENATE(K878, K877)</f>
        <v>+Inflat.-P</v>
      </c>
      <c r="N878" s="216"/>
      <c r="O878" s="188"/>
      <c r="P878" s="188"/>
      <c r="Q878" s="217" t="s">
        <v>118</v>
      </c>
      <c r="R878" s="189"/>
      <c r="S878" s="190"/>
      <c r="T878" s="190"/>
      <c r="U878" s="191"/>
      <c r="V878" s="192"/>
      <c r="W878" s="190"/>
      <c r="X878" s="190"/>
      <c r="Y878" s="191"/>
      <c r="Z878" s="192"/>
      <c r="AA878" s="190"/>
      <c r="AB878" s="190"/>
      <c r="AC878" s="191"/>
      <c r="AD878" s="192"/>
      <c r="AE878" s="190" t="s">
        <v>118</v>
      </c>
      <c r="AF878" s="190" t="s">
        <v>117</v>
      </c>
      <c r="AG878" s="191" t="s">
        <v>26</v>
      </c>
      <c r="AH878" s="193"/>
      <c r="AI878" s="190" t="s">
        <v>118</v>
      </c>
      <c r="AJ878" s="190" t="s">
        <v>117</v>
      </c>
      <c r="AK878" s="374" t="s">
        <v>26</v>
      </c>
      <c r="AL878" s="348" t="s">
        <v>151</v>
      </c>
      <c r="AM878" s="354"/>
      <c r="AN878" s="354"/>
      <c r="AO878" s="354"/>
      <c r="AP878" s="354">
        <f>IF(SUM(Q870:Q878)=SUM(AE870:AE878,AI870:AI878), 0, SUM(Q870:Q878)-SUM(AE870:AE878,AI870:AI878))</f>
        <v>0</v>
      </c>
      <c r="AQ878" s="350">
        <f>AM878+AN878+AO878+AP878</f>
        <v>0</v>
      </c>
      <c r="AR878" s="769"/>
      <c r="AS878" s="769"/>
      <c r="AT878" s="769"/>
      <c r="BM878" s="335"/>
    </row>
    <row r="879" spans="1:65" ht="22" customHeight="1">
      <c r="A879" s="181">
        <f t="shared" si="290"/>
        <v>45292</v>
      </c>
      <c r="B879" s="232" t="s">
        <v>74</v>
      </c>
      <c r="C879" s="233" t="s">
        <v>75</v>
      </c>
      <c r="D879" s="234" t="s">
        <v>76</v>
      </c>
      <c r="E879" s="235" t="s">
        <v>11</v>
      </c>
      <c r="F879" s="235" t="s">
        <v>4</v>
      </c>
      <c r="G879" s="235" t="s">
        <v>5</v>
      </c>
      <c r="H879" s="235" t="s">
        <v>6</v>
      </c>
      <c r="I879" s="236" t="s">
        <v>77</v>
      </c>
      <c r="J879" s="306"/>
      <c r="K879" s="501" t="str">
        <f t="shared" si="294"/>
        <v/>
      </c>
      <c r="L879" s="306" t="str">
        <f>IFERROR(VLOOKUP(B880,'Aktuelle Einnahmen'!A2:J104,10,0),"")</f>
        <v/>
      </c>
      <c r="M879" s="510" t="str">
        <f>M869</f>
        <v>Stufe C</v>
      </c>
      <c r="N879" s="237"/>
      <c r="O879" s="238"/>
      <c r="P879" s="238"/>
      <c r="Q879" s="239"/>
      <c r="R879" s="240"/>
      <c r="S879" s="241"/>
      <c r="T879" s="241"/>
      <c r="U879" s="242"/>
      <c r="V879" s="243"/>
      <c r="W879" s="241"/>
      <c r="X879" s="241"/>
      <c r="Y879" s="242"/>
      <c r="Z879" s="243"/>
      <c r="AA879" s="241"/>
      <c r="AB879" s="241"/>
      <c r="AC879" s="242"/>
      <c r="AD879" s="243"/>
      <c r="AE879" s="241"/>
      <c r="AF879" s="241"/>
      <c r="AG879" s="242"/>
      <c r="AH879" s="240"/>
      <c r="AI879" s="241"/>
      <c r="AJ879" s="241"/>
      <c r="AK879" s="377"/>
      <c r="AL879" s="347"/>
      <c r="AM879" s="353"/>
      <c r="AN879" s="353"/>
      <c r="AO879" s="353"/>
      <c r="AP879" s="353"/>
      <c r="AQ879" s="349"/>
      <c r="AR879" s="768"/>
      <c r="AS879" s="768"/>
      <c r="AT879" s="768"/>
      <c r="BM879" s="335"/>
    </row>
    <row r="880" spans="1:65" ht="23" customHeight="1">
      <c r="A880" s="181">
        <f t="shared" si="290"/>
        <v>45292</v>
      </c>
      <c r="B880" s="182">
        <v>88</v>
      </c>
      <c r="C880" s="245">
        <f>IFERROR(VLOOKUP($B880,'Aktuelle Einnahmen'!A2:G104,3,0),"")</f>
        <v>0</v>
      </c>
      <c r="D880" s="246">
        <f>IFERROR(VLOOKUP($B880,'Aktuelle Einnahmen'!A2:G104,2,0),"")</f>
        <v>0</v>
      </c>
      <c r="E880" s="247">
        <f>IFERROR(VLOOKUP($B880,'Aktuelle Einnahmen'!A2:G104,4,0),"")</f>
        <v>0</v>
      </c>
      <c r="F880" s="94">
        <f>IFERROR(VLOOKUP($B880,'Aktuelle Einnahmen'!A2:G104,5,0),"")</f>
        <v>0</v>
      </c>
      <c r="G880" s="94">
        <f>IFERROR(VLOOKUP($B880,'Aktuelle Einnahmen'!A2:G104,6,0),"")</f>
        <v>0</v>
      </c>
      <c r="H880" s="94">
        <f>IFERROR(VLOOKUP($B880,'Aktuelle Einnahmen'!A2:G104,7,0),"")</f>
        <v>0</v>
      </c>
      <c r="I880" s="186" t="e">
        <f>DATE(H880,G880,F880)</f>
        <v>#NUM!</v>
      </c>
      <c r="J880" s="472">
        <f ca="1">J870</f>
        <v>45475</v>
      </c>
      <c r="K880" s="501" t="str">
        <f t="shared" si="294"/>
        <v>+Inflat.-P</v>
      </c>
      <c r="L880" s="1262" t="str">
        <f>IFERROR(VLOOKUP(B880,'Aktuelle Einnahmen'!A22:I124,9,0),"")</f>
        <v>Auswahl treffen</v>
      </c>
      <c r="M880" s="1263"/>
      <c r="N880" s="261"/>
      <c r="O880" s="261"/>
      <c r="P880" s="261"/>
      <c r="Q880" s="261"/>
      <c r="R880" s="189"/>
      <c r="S880" s="190"/>
      <c r="T880" s="190"/>
      <c r="U880" s="191"/>
      <c r="V880" s="192"/>
      <c r="W880" s="190"/>
      <c r="X880" s="190"/>
      <c r="Y880" s="191"/>
      <c r="Z880" s="192"/>
      <c r="AA880" s="190"/>
      <c r="AB880" s="190"/>
      <c r="AC880" s="191"/>
      <c r="AD880" s="192"/>
      <c r="AE880" s="190"/>
      <c r="AF880" s="190"/>
      <c r="AG880" s="191"/>
      <c r="AH880" s="193"/>
      <c r="AI880" s="190"/>
      <c r="AJ880" s="190"/>
      <c r="AK880" s="374"/>
      <c r="AL880" s="348"/>
      <c r="AM880" s="354"/>
      <c r="AN880" s="354"/>
      <c r="AO880" s="354"/>
      <c r="AP880" s="354"/>
      <c r="AQ880" s="350"/>
      <c r="AR880" s="769"/>
      <c r="AS880" s="769"/>
      <c r="AT880" s="769"/>
      <c r="BM880" s="335"/>
    </row>
    <row r="881" spans="1:65" ht="22.25" customHeight="1">
      <c r="A881" s="181">
        <f t="shared" si="290"/>
        <v>45292</v>
      </c>
      <c r="B881" s="484" t="e">
        <f>DAY(I880)</f>
        <v>#NUM!</v>
      </c>
      <c r="C881" s="489" t="s">
        <v>158</v>
      </c>
      <c r="D881" s="520" t="e">
        <f>(I881*4)+J881/3+1</f>
        <v>#NUM!</v>
      </c>
      <c r="E881" s="194" t="e">
        <f>J883+1</f>
        <v>#NUM!</v>
      </c>
      <c r="F881" s="195" t="e">
        <f t="shared" ref="F881:F888" si="304">DAY(E881)</f>
        <v>#NUM!</v>
      </c>
      <c r="G881" s="196" t="e">
        <f t="shared" ref="G881:G888" si="305">MONTH(E881)</f>
        <v>#NUM!</v>
      </c>
      <c r="H881" s="195" t="e">
        <f t="shared" ref="H881:H888" si="306">YEAR(E881)</f>
        <v>#NUM!</v>
      </c>
      <c r="I881" s="197" t="e">
        <f>H881-(H880+2000)</f>
        <v>#NUM!</v>
      </c>
      <c r="J881" s="198" t="e">
        <f>G881-G880</f>
        <v>#NUM!</v>
      </c>
      <c r="K881" s="506" t="str">
        <f>L879</f>
        <v/>
      </c>
      <c r="L881" s="469"/>
      <c r="M881" s="473" t="e">
        <f ca="1">SUM(J880-E882)&amp;" Tage"</f>
        <v>#NUM!</v>
      </c>
      <c r="N881" s="206"/>
      <c r="O881" s="201"/>
      <c r="P881" s="201"/>
      <c r="Q881" s="202"/>
      <c r="R881" s="189"/>
      <c r="S881" s="203"/>
      <c r="T881" s="203"/>
      <c r="U881" s="204"/>
      <c r="V881" s="192"/>
      <c r="W881" s="203"/>
      <c r="X881" s="203"/>
      <c r="Y881" s="204"/>
      <c r="Z881" s="192"/>
      <c r="AA881" s="203"/>
      <c r="AB881" s="203"/>
      <c r="AC881" s="204"/>
      <c r="AD881" s="192"/>
      <c r="AE881" s="203"/>
      <c r="AF881" s="203"/>
      <c r="AG881" s="204"/>
      <c r="AH881" s="193"/>
      <c r="AI881" s="203"/>
      <c r="AJ881" s="203"/>
      <c r="AK881" s="375"/>
      <c r="AL881" s="348"/>
      <c r="AM881" s="354"/>
      <c r="AN881" s="354"/>
      <c r="AO881" s="354"/>
      <c r="AP881" s="354"/>
      <c r="AQ881" s="350"/>
      <c r="AR881" s="769"/>
      <c r="AS881" s="769"/>
      <c r="AT881" s="769"/>
      <c r="BM881" s="335"/>
    </row>
    <row r="882" spans="1:65" ht="22.25" customHeight="1">
      <c r="A882" s="181">
        <f t="shared" si="290"/>
        <v>45292</v>
      </c>
      <c r="B882" s="485"/>
      <c r="C882" s="490"/>
      <c r="D882" s="521"/>
      <c r="E882" s="194" t="e">
        <f>DATE(YEAR(E881),MONTH(E881)+3,DAY(E881)-1)</f>
        <v>#NUM!</v>
      </c>
      <c r="F882" s="195" t="e">
        <f t="shared" si="304"/>
        <v>#NUM!</v>
      </c>
      <c r="G882" s="196" t="e">
        <f t="shared" si="305"/>
        <v>#NUM!</v>
      </c>
      <c r="H882" s="195" t="e">
        <f t="shared" si="306"/>
        <v>#NUM!</v>
      </c>
      <c r="I882" s="244">
        <v>-1</v>
      </c>
      <c r="J882" s="198" t="e">
        <f>F881-F880</f>
        <v>#NUM!</v>
      </c>
      <c r="K882" s="501" t="str">
        <f t="shared" si="294"/>
        <v>+Inflat.-P</v>
      </c>
      <c r="L882" s="511" t="e">
        <f>IF(M879="Stufe A",IF(AND(L880="Auswahl treffen",D881&gt;=0,D881&lt;=1000),J879,IF(AND(L880="Vermögend und ambulant",D881&gt;8,D881&lt;=1000),130,IF(AND(L880="Vermögend und ambulant",D881&gt;4,D881&lt;=8),158,IF(AND(L880="Vermögend und ambulant",D881&gt;2,D881&lt;=4),192,IF(AND(L880="Vermögend und ambulant",D881&gt;1,D881&lt;=2),208,IF(AND(L880="Vermögend und ambulant",D881&gt;0,D881&lt;=1),298,IF(AND(L880="Vermögend und stationär",D881&gt;8,D881&lt;=1000),78,IF(AND(L880="Vermögend und stationär",D881&gt;4,D881&lt;=8),91,IF(AND(L880="Vermögend und stationär",D881&gt;2,D881&lt;=4),140,IF(AND(L880="Vermögend und stationär",D881&gt;1,D881&lt;=2),158,IF(AND(L880="Vermögend und stationär",D881&gt;0,D881&lt;=1),200,IF(AND(L880="Mittellos und ambulant",D881&gt;8,D881&lt;=1000),105,IF(AND(L880="Mittellos und ambulant",D881&gt;4,D881&lt;=8),122,IF(AND(L880="Mittellos und ambulant",D881&gt;2,D881&lt;=4),151,IF(AND(L880="Mittellos und ambulant",D881&gt;1,D881&lt;=2),170,IF(AND(L880="Mittellos und ambulant",D881&gt;0,D881&lt;=1),208,IF(AND(L880="Mittellos und stationär",D881&gt;8,D881&lt;=1000),62,IF(AND(L880="Mittellos und stationär",D881&gt;4,D881&lt;=8),87,IF(AND(L880="Mittellos und stationär",D881&gt;2,D881&lt;=4),124,IF(AND(L880="Mittellos und stationär",D881&gt;1,D881&lt;=2),129,IF(AND(L880="Mittellos und stationär",D881&gt;0,D881&lt;=1),194,""))))))))))))))))))))),IF(M879="Stufe B",IF(AND(L880="Auswahl treffen",D881&gt;=0,D881&lt;=1000),J879,IF(AND(L880="Vermögend und ambulant",D881&gt;8,D881&lt;=1000),161,IF(AND(L880="Vermögend und ambulant",D881&gt;4,D881&lt;=8),196,IF(AND(L880="Vermögend und ambulant",D881&gt;2,D881&lt;=4),238,IF(AND(L880="Vermögend und ambulant",D881&gt;1,D881&lt;=2),258,IF(AND(L880="Vermögend und ambulant",D881&gt;0,D881&lt;=1),370,IF(AND(L880="Vermögend und stationär",D881&gt;8,D881&lt;=1000),96,IF(AND(L880="Vermögend und stationär",D881&gt;4,D881&lt;=8),113,IF(AND(L880="Vermögend und stationär",D881&gt;2,D881&lt;=4),174,IF(AND(L880="Vermögend und stationär",D881&gt;1,D881&lt;=2),196,IF(AND(L880="Vermögend und stationär",D881&gt;0,D881&lt;=1),249,IF(AND(L880="Mittellos und ambulant",D881&gt;8,D881&lt;=1000),130,IF(AND(L880="Mittellos und ambulant",D881&gt;4,D881&lt;=8),151,IF(AND(L880="Mittellos und ambulant",D881&gt;2,D881&lt;=4),188,IF(AND(L880="Mittellos und ambulant",D881&gt;1,D881&lt;=2),211,IF(AND(L880="Mittellos und ambulant",D881&gt;0,D881&lt;=1),258,IF(AND(L880="Mittellos und stationär",D881&gt;8,D881&lt;=1000),78,IF(AND(L880="Mittellos und stationär",D881&gt;4,D881&lt;=8),107,IF(AND(L880="Mittellos und stationär",D881&gt;2,D881&lt;=4),154,IF(AND(L880="Mittellos und stationär",D881&gt;1,D881&lt;=2),158,IF(AND(L880="Mittellos und stationär",D881&gt;0,D881&lt;=1),241,""))))))))))))))))))))),IF(M879="Stufe C",IF(AND(L880="Auswahl treffen",D881&gt;=0,D881&lt;=1000),J879,IF(AND(L880="Vermögend und ambulant",D881&gt;8,D881&lt;=1000),211,IF(AND(L880="Vermögend und ambulant",D881&gt;4,D881&lt;=8),257,IF(AND(L880="Vermögend und ambulant",D881&gt;2,D881&lt;=4),312,IF(AND(L880="Vermögend und ambulant",D881&gt;1,D881&lt;=2),339,IF(AND(L880="Vermögend und ambulant",D881&gt;0,D881&lt;=1),486,IF(AND(L880="Vermögend und stationär",D881&gt;8,D881&lt;=1000),127,IF(AND(L880="Vermögend und stationär",D881&gt;4,D881&lt;=8),149,IF(AND(L880="Vermögend und stationär",D881&gt;2,D881&lt;=4),229,IF(AND(L880="Vermögend und stationär",D881&gt;1,D881&lt;=2),257,IF(AND(L880="Vermögend und stationär",D881&gt;0,D881&lt;=1),327,IF(AND(L880="Mittellos und ambulant",D881&gt;8,D881&lt;=1000),171,IF(AND(L880="Mittellos und ambulant",D881&gt;4,D881&lt;=8),198,IF(AND(L880="Mittellos und ambulant",D881&gt;2,D881&lt;=4),246,IF(AND(L880="Mittellos und ambulant",D881&gt;1,D881&lt;=2),277,IF(AND(L880="Mittellos und ambulant",D881&gt;0,D881&lt;=1),339,IF(AND(L880="Mittellos und stationär",D881&gt;8,D881&lt;=1000),102,IF(AND(L880="Mittellos und stationär",D881&gt;4,D881&lt;=8),141,IF(AND(L880="Mittellos und stationär",D881&gt;2,D881&lt;=4),202,IF(AND(L880="Mittellos und stationär",D881&gt;1,D881&lt;=2),208,IF(AND(L880="Mittellos und stationär",D881&gt;0,D881&lt;=1),317,""))))))))))))))))))))),"")))*3+(J879*90)</f>
        <v>#NUM!</v>
      </c>
      <c r="M882" s="507" t="str">
        <f>CONCATENATE(K882, K881)</f>
        <v>+Inflat.-P</v>
      </c>
      <c r="N882" s="206" t="s">
        <v>118</v>
      </c>
      <c r="O882" s="207"/>
      <c r="P882" s="207"/>
      <c r="Q882" s="208"/>
      <c r="R882" s="187"/>
      <c r="S882" s="209" t="s">
        <v>118</v>
      </c>
      <c r="T882" s="201" t="s">
        <v>117</v>
      </c>
      <c r="U882" s="210" t="s">
        <v>26</v>
      </c>
      <c r="V882" s="192"/>
      <c r="W882" s="203"/>
      <c r="X882" s="203"/>
      <c r="Y882" s="210"/>
      <c r="Z882" s="192"/>
      <c r="AA882" s="203"/>
      <c r="AB882" s="203"/>
      <c r="AC882" s="210"/>
      <c r="AD882" s="192"/>
      <c r="AE882" s="203"/>
      <c r="AF882" s="203"/>
      <c r="AG882" s="210"/>
      <c r="AH882" s="193"/>
      <c r="AI882" s="203"/>
      <c r="AJ882" s="203"/>
      <c r="AK882" s="376"/>
      <c r="AL882" s="348" t="s">
        <v>148</v>
      </c>
      <c r="AM882" s="354">
        <f>IF(SUM(N880:N888)=SUM(S880:S888), 0, SUM(N880:N888)-SUM(S880:S888))</f>
        <v>0</v>
      </c>
      <c r="AN882" s="354"/>
      <c r="AO882" s="354"/>
      <c r="AP882" s="354"/>
      <c r="AQ882" s="350">
        <f>AM882+AN882+AO882+AP882</f>
        <v>0</v>
      </c>
      <c r="AR882" s="769"/>
      <c r="AS882" s="769"/>
      <c r="AT882" s="769"/>
      <c r="BM882" s="335"/>
    </row>
    <row r="883" spans="1:65" ht="22.25" customHeight="1">
      <c r="A883" s="181">
        <f t="shared" si="290"/>
        <v>45292</v>
      </c>
      <c r="B883" s="484" t="e">
        <f>MONTH(I880)</f>
        <v>#NUM!</v>
      </c>
      <c r="C883" s="489" t="s">
        <v>158</v>
      </c>
      <c r="D883" s="522" t="e">
        <f>D881+1</f>
        <v>#NUM!</v>
      </c>
      <c r="E883" s="211" t="e">
        <f>DATE(YEAR(E882),MONTH(E882),DAY(E882)+1)</f>
        <v>#NUM!</v>
      </c>
      <c r="F883" s="212" t="e">
        <f t="shared" si="304"/>
        <v>#NUM!</v>
      </c>
      <c r="G883" s="213" t="e">
        <f t="shared" si="305"/>
        <v>#NUM!</v>
      </c>
      <c r="H883" s="212" t="e">
        <f t="shared" si="306"/>
        <v>#NUM!</v>
      </c>
      <c r="I883" s="214" t="str">
        <f>IF(D880&lt;&gt;0,"-1T","")</f>
        <v/>
      </c>
      <c r="J883" s="215" t="e">
        <f>DATE($B885,I884,$B881)</f>
        <v>#NUM!</v>
      </c>
      <c r="K883" s="506" t="str">
        <f t="shared" si="294"/>
        <v/>
      </c>
      <c r="L883" s="470"/>
      <c r="M883" s="473" t="e">
        <f ca="1">SUM(J880-E884)&amp;" Tage"</f>
        <v>#NUM!</v>
      </c>
      <c r="N883" s="216"/>
      <c r="O883" s="217"/>
      <c r="P883" s="188"/>
      <c r="Q883" s="217"/>
      <c r="R883" s="189"/>
      <c r="S883" s="190"/>
      <c r="T883" s="190"/>
      <c r="U883" s="191"/>
      <c r="V883" s="192"/>
      <c r="W883" s="190"/>
      <c r="X883" s="190"/>
      <c r="Y883" s="191"/>
      <c r="Z883" s="192"/>
      <c r="AA883" s="190"/>
      <c r="AB883" s="190"/>
      <c r="AC883" s="191"/>
      <c r="AD883" s="192"/>
      <c r="AE883" s="190"/>
      <c r="AF883" s="190"/>
      <c r="AG883" s="191"/>
      <c r="AH883" s="193"/>
      <c r="AI883" s="190"/>
      <c r="AJ883" s="190"/>
      <c r="AK883" s="374"/>
      <c r="AL883" s="348"/>
      <c r="AM883" s="354"/>
      <c r="AN883" s="354"/>
      <c r="AO883" s="354"/>
      <c r="AP883" s="354"/>
      <c r="AQ883" s="350"/>
      <c r="AR883" s="769"/>
      <c r="AS883" s="769"/>
      <c r="AT883" s="769"/>
      <c r="BM883" s="335"/>
    </row>
    <row r="884" spans="1:65" ht="22.25" customHeight="1">
      <c r="A884" s="181">
        <f t="shared" si="290"/>
        <v>45292</v>
      </c>
      <c r="B884" s="485"/>
      <c r="C884" s="490"/>
      <c r="D884" s="521"/>
      <c r="E884" s="218" t="e">
        <f>DATE(YEAR(E883),MONTH(E883)+3,DAY(E883)-1)</f>
        <v>#NUM!</v>
      </c>
      <c r="F884" s="212" t="e">
        <f t="shared" si="304"/>
        <v>#NUM!</v>
      </c>
      <c r="G884" s="213" t="e">
        <f t="shared" si="305"/>
        <v>#NUM!</v>
      </c>
      <c r="H884" s="212" t="e">
        <f t="shared" si="306"/>
        <v>#NUM!</v>
      </c>
      <c r="I884" s="219">
        <f>MAX(I885:I888)</f>
        <v>9</v>
      </c>
      <c r="J884" s="220" t="e">
        <f>DATE(YEAR(J883)+1,MONTH(J883),DAY(J883))</f>
        <v>#NUM!</v>
      </c>
      <c r="K884" s="501" t="str">
        <f t="shared" si="294"/>
        <v>+Inflat.-P</v>
      </c>
      <c r="L884" s="508" t="e">
        <f>IF(M879="Stufe A",IF(AND(L880="Auswahl treffen",D883&gt;=0,D883&lt;=1000),J879,IF(AND(L880="Vermögend und ambulant",D883&gt;8,D883&lt;=1000),130,IF(AND(L880="Vermögend und ambulant",D883&gt;4,D883&lt;=8),158,IF(AND(L880="Vermögend und ambulant",D883&gt;2,D883&lt;=4),192,IF(AND(L880="Vermögend und ambulant",D883&gt;1,D883&lt;=2),208,IF(AND(L880="Vermögend und ambulant",D883&gt;0,D883&lt;=1),298,IF(AND(L880="Vermögend und stationär",D883&gt;8,D883&lt;=1000),78,IF(AND(L880="Vermögend und stationär",D883&gt;4,D883&lt;=8),91,IF(AND(L880="Vermögend und stationär",D883&gt;2,D883&lt;=4),140,IF(AND(L880="Vermögend und stationär",D883&gt;1,D883&lt;=2),158,IF(AND(L880="Vermögend und stationär",D883&gt;0,D883&lt;=1),200,IF(AND(L880="Mittellos und ambulant",D883&gt;8,D883&lt;=1000),105,IF(AND(L880="Mittellos und ambulant",D883&gt;4,D883&lt;=8),122,IF(AND(L880="Mittellos und ambulant",D883&gt;2,D883&lt;=4),151,IF(AND(L880="Mittellos und ambulant",D883&gt;1,D883&lt;=2),170,IF(AND(L880="Mittellos und ambulant",D883&gt;0,D883&lt;=1),208,IF(AND(L880="Mittellos und stationär",D883&gt;8,D883&lt;=1000),62,IF(AND(L880="Mittellos und stationär",D883&gt;4,D883&lt;=8),87,IF(AND(L880="Mittellos und stationär",D883&gt;2,D883&lt;=4),124,IF(AND(L880="Mittellos und stationär",D883&gt;1,D883&lt;=2),129,IF(AND(L880="Mittellos und stationär",D883&gt;0,D883&lt;=1),194,""))))))))))))))))))))),IF(M879="Stufe B",IF(AND(L880="Auswahl treffen",D883&gt;=0,D883&lt;=1000),J879,IF(AND(L880="Vermögend und ambulant",D883&gt;8,D883&lt;=1000),161,IF(AND(L880="Vermögend und ambulant",D883&gt;4,D883&lt;=8),196,IF(AND(L880="Vermögend und ambulant",D883&gt;2,D883&lt;=4),238,IF(AND(L880="Vermögend und ambulant",D883&gt;1,D883&lt;=2),258,IF(AND(L880="Vermögend und ambulant",D883&gt;0,D883&lt;=1),370,IF(AND(L880="Vermögend und stationär",D883&gt;8,D883&lt;=1000),96,IF(AND(L880="Vermögend und stationär",D883&gt;4,D883&lt;=8),113,IF(AND(L880="Vermögend und stationär",D883&gt;2,D883&lt;=4),174,IF(AND(L880="Vermögend und stationär",D883&gt;1,D883&lt;=2),196,IF(AND(L880="Vermögend und stationär",D883&gt;0,D883&lt;=1),249,IF(AND(L880="Mittellos und ambulant",D883&gt;8,D883&lt;=1000),130,IF(AND(L880="Mittellos und ambulant",D883&gt;4,D883&lt;=8),151,IF(AND(L880="Mittellos und ambulant",D883&gt;2,D883&lt;=4),188,IF(AND(L880="Mittellos und ambulant",D883&gt;1,D883&lt;=2),211,IF(AND(L880="Mittellos und ambulant",D883&gt;0,D883&lt;=1),258,IF(AND(L880="Mittellos und stationär",D883&gt;8,D883&lt;=1000),78,IF(AND(L880="Mittellos und stationär",D883&gt;4,D883&lt;=8),107,IF(AND(L880="Mittellos und stationär",D883&gt;2,D883&lt;=4),154,IF(AND(L880="Mittellos und stationär",D883&gt;1,D883&lt;=2),158,IF(AND(L880="Mittellos und stationär",D883&gt;0,D883&lt;=1),241,""))))))))))))))))))))),IF(M879="Stufe C",IF(AND(L880="Auswahl treffen",D883&gt;=0,D883&lt;=1000),J879,IF(AND(L880="Vermögend und ambulant",D883&gt;8,D883&lt;=1000),211,IF(AND(L880="Vermögend und ambulant",D883&gt;4,D883&lt;=8),257,IF(AND(L880="Vermögend und ambulant",D883&gt;2,D883&lt;=4),312,IF(AND(L880="Vermögend und ambulant",D883&gt;1,D883&lt;=2),339,IF(AND(L880="Vermögend und ambulant",D883&gt;0,D883&lt;=1),486,IF(AND(L880="Vermögend und stationär",D883&gt;8,D883&lt;=1000),127,IF(AND(L880="Vermögend und stationär",D883&gt;4,D883&lt;=8),149,IF(AND(L880="Vermögend und stationär",D883&gt;2,D883&lt;=4),229,IF(AND(L880="Vermögend und stationär",D883&gt;1,D883&lt;=2),257,IF(AND(L880="Vermögend und stationär",D883&gt;0,D883&lt;=1),327,IF(AND(L880="Mittellos und ambulant",D883&gt;8,D883&lt;=1000),171,IF(AND(L880="Mittellos und ambulant",D883&gt;4,D883&lt;=8),198,IF(AND(L880="Mittellos und ambulant",D883&gt;2,D883&lt;=4),246,IF(AND(L880="Mittellos und ambulant",D883&gt;1,D883&lt;=2),277,IF(AND(L880="Mittellos und ambulant",D883&gt;0,D883&lt;=1),339,IF(AND(L880="Mittellos und stationär",D883&gt;8,D883&lt;=1000),102,IF(AND(L880="Mittellos und stationär",D883&gt;4,D883&lt;=8),141,IF(AND(L880="Mittellos und stationär",D883&gt;2,D883&lt;=4),202,IF(AND(L880="Mittellos und stationär",D883&gt;1,D883&lt;=2),208,IF(AND(L880="Mittellos und stationär",D883&gt;0,D883&lt;=1),317,""))))))))))))))))))))),"")))*3+(J879*90)</f>
        <v>#NUM!</v>
      </c>
      <c r="M884" s="507" t="str">
        <f>CONCATENATE(K884, K883)</f>
        <v>+Inflat.-P</v>
      </c>
      <c r="N884" s="216"/>
      <c r="O884" s="188" t="s">
        <v>118</v>
      </c>
      <c r="P884" s="188"/>
      <c r="Q884" s="221"/>
      <c r="R884" s="199"/>
      <c r="S884" s="190"/>
      <c r="T884" s="190"/>
      <c r="U884" s="191"/>
      <c r="V884" s="192"/>
      <c r="W884" s="222" t="s">
        <v>118</v>
      </c>
      <c r="X884" s="222" t="s">
        <v>117</v>
      </c>
      <c r="Y884" s="191" t="s">
        <v>26</v>
      </c>
      <c r="Z884" s="192"/>
      <c r="AA884" s="190"/>
      <c r="AB884" s="190"/>
      <c r="AC884" s="191"/>
      <c r="AD884" s="192"/>
      <c r="AE884" s="190"/>
      <c r="AF884" s="190"/>
      <c r="AG884" s="191"/>
      <c r="AH884" s="193"/>
      <c r="AI884" s="190"/>
      <c r="AJ884" s="190"/>
      <c r="AK884" s="374"/>
      <c r="AL884" s="348" t="s">
        <v>149</v>
      </c>
      <c r="AM884" s="354"/>
      <c r="AN884" s="354">
        <f>IF(SUM(O880:O888)=SUM(W880:W888), 0, SUM(O880:O888)-SUM(W880:W888))</f>
        <v>0</v>
      </c>
      <c r="AO884" s="354"/>
      <c r="AP884" s="354"/>
      <c r="AQ884" s="350">
        <f>AM884+AN884+AO884+AP884</f>
        <v>0</v>
      </c>
      <c r="AR884" s="769"/>
      <c r="AS884" s="769"/>
      <c r="AT884" s="769"/>
      <c r="BM884" s="335"/>
    </row>
    <row r="885" spans="1:65" ht="22.25" customHeight="1">
      <c r="A885" s="181">
        <f t="shared" si="290"/>
        <v>45292</v>
      </c>
      <c r="B885" s="484">
        <f>YEAR($A886)-1</f>
        <v>2023</v>
      </c>
      <c r="C885" s="489" t="s">
        <v>158</v>
      </c>
      <c r="D885" s="520" t="e">
        <f>D883+1</f>
        <v>#NUM!</v>
      </c>
      <c r="E885" s="194" t="e">
        <f>DATE(YEAR(E884),MONTH(E884),DAY(E884)+1)</f>
        <v>#NUM!</v>
      </c>
      <c r="F885" s="195" t="e">
        <f t="shared" si="304"/>
        <v>#NUM!</v>
      </c>
      <c r="G885" s="196" t="e">
        <f t="shared" si="305"/>
        <v>#NUM!</v>
      </c>
      <c r="H885" s="195" t="e">
        <f t="shared" si="306"/>
        <v>#NUM!</v>
      </c>
      <c r="I885" s="197">
        <f>IF(J887&lt;13,J887,"")</f>
        <v>9</v>
      </c>
      <c r="J885" s="224">
        <f>G880</f>
        <v>0</v>
      </c>
      <c r="K885" s="506" t="str">
        <f t="shared" si="294"/>
        <v/>
      </c>
      <c r="L885" s="471"/>
      <c r="M885" s="473" t="e">
        <f ca="1">SUM(J880-E886)&amp;" Tage"</f>
        <v>#NUM!</v>
      </c>
      <c r="N885" s="200"/>
      <c r="O885" s="201"/>
      <c r="P885" s="201"/>
      <c r="Q885" s="202"/>
      <c r="R885" s="189"/>
      <c r="S885" s="203"/>
      <c r="T885" s="203"/>
      <c r="U885" s="204"/>
      <c r="V885" s="192"/>
      <c r="W885" s="203"/>
      <c r="X885" s="203"/>
      <c r="Y885" s="204"/>
      <c r="Z885" s="192"/>
      <c r="AA885" s="203"/>
      <c r="AB885" s="203"/>
      <c r="AC885" s="204"/>
      <c r="AD885" s="192"/>
      <c r="AE885" s="203"/>
      <c r="AF885" s="203"/>
      <c r="AG885" s="204"/>
      <c r="AH885" s="193"/>
      <c r="AI885" s="203"/>
      <c r="AJ885" s="203"/>
      <c r="AK885" s="375"/>
      <c r="AL885" s="348"/>
      <c r="AM885" s="354"/>
      <c r="AN885" s="354"/>
      <c r="AO885" s="354"/>
      <c r="AP885" s="354"/>
      <c r="AQ885" s="350"/>
      <c r="AR885" s="769"/>
      <c r="AS885" s="769"/>
      <c r="AT885" s="769"/>
      <c r="BM885" s="335"/>
    </row>
    <row r="886" spans="1:65" ht="22.25" customHeight="1">
      <c r="A886" s="181">
        <f t="shared" si="290"/>
        <v>45292</v>
      </c>
      <c r="B886" s="485"/>
      <c r="C886" s="490"/>
      <c r="D886" s="521"/>
      <c r="E886" s="194" t="e">
        <f>DATE(YEAR(E885),MONTH(E885)+3,DAY(E885)-1)</f>
        <v>#NUM!</v>
      </c>
      <c r="F886" s="195" t="e">
        <f t="shared" si="304"/>
        <v>#NUM!</v>
      </c>
      <c r="G886" s="196" t="e">
        <f t="shared" si="305"/>
        <v>#NUM!</v>
      </c>
      <c r="H886" s="195" t="e">
        <f t="shared" si="306"/>
        <v>#NUM!</v>
      </c>
      <c r="I886" s="244">
        <f>IF(J888&lt;13,J888,"")</f>
        <v>6</v>
      </c>
      <c r="J886" s="224">
        <f>J885+3</f>
        <v>3</v>
      </c>
      <c r="K886" s="501" t="str">
        <f t="shared" si="294"/>
        <v>+Inflat.-P</v>
      </c>
      <c r="L886" s="511" t="e">
        <f>IF(M879="Stufe A",IF(AND(L880="Auswahl treffen",D885&gt;=0,D885&lt;=1000),J879,IF(AND(L880="Vermögend und ambulant",D885&gt;8,D885&lt;=1000),130,IF(AND(L880="Vermögend und ambulant",D885&gt;4,D885&lt;=8),158,IF(AND(L880="Vermögend und ambulant",D885&gt;2,D885&lt;=4),192,IF(AND(L880="Vermögend und ambulant",D885&gt;1,D885&lt;=2),208,IF(AND(L880="Vermögend und ambulant",D885&gt;0,D885&lt;=1),298,IF(AND(L880="Vermögend und stationär",D885&gt;8,D885&lt;=1000),78,IF(AND(L880="Vermögend und stationär",D885&gt;4,D885&lt;=8),91,IF(AND(L880="Vermögend und stationär",D885&gt;2,D885&lt;=4),140,IF(AND(L880="Vermögend und stationär",D885&gt;1,D885&lt;=2),158,IF(AND(L880="Vermögend und stationär",D885&gt;0,D885&lt;=1),200,IF(AND(L880="Mittellos und ambulant",D885&gt;8,D885&lt;=1000),105,IF(AND(L880="Mittellos und ambulant",D885&gt;4,D885&lt;=8),122,IF(AND(L880="Mittellos und ambulant",D885&gt;2,D885&lt;=4),151,IF(AND(L880="Mittellos und ambulant",D885&gt;1,D885&lt;=2),170,IF(AND(L880="Mittellos und ambulant",D885&gt;0,D885&lt;=1),208,IF(AND(L880="Mittellos und stationär",D885&gt;8,D885&lt;=1000),62,IF(AND(L880="Mittellos und stationär",D885&gt;4,D885&lt;=8),87,IF(AND(L880="Mittellos und stationär",D885&gt;2,D885&lt;=4),124,IF(AND(L880="Mittellos und stationär",D885&gt;1,D885&lt;=2),129,IF(AND(L880="Mittellos und stationär",D885&gt;0,D885&lt;=1),194,""))))))))))))))))))))),IF(M879="Stufe B",IF(AND(L880="Auswahl treffen",D885&gt;=0,D885&lt;=1000),J879,IF(AND(L880="Vermögend und ambulant",D885&gt;8,D885&lt;=1000),161,IF(AND(L880="Vermögend und ambulant",D885&gt;4,D885&lt;=8),196,IF(AND(L880="Vermögend und ambulant",D885&gt;2,D885&lt;=4),238,IF(AND(L880="Vermögend und ambulant",D885&gt;1,D885&lt;=2),258,IF(AND(L880="Vermögend und ambulant",D885&gt;0,D885&lt;=1),370,IF(AND(L880="Vermögend und stationär",D885&gt;8,D885&lt;=1000),96,IF(AND(L880="Vermögend und stationär",D885&gt;4,D885&lt;=8),113,IF(AND(L880="Vermögend und stationär",D885&gt;2,D885&lt;=4),174,IF(AND(L880="Vermögend und stationär",D885&gt;1,D885&lt;=2),196,IF(AND(L880="Vermögend und stationär",D885&gt;0,D885&lt;=1),249,IF(AND(L880="Mittellos und ambulant",D885&gt;8,D885&lt;=1000),130,IF(AND(L880="Mittellos und ambulant",D885&gt;4,D885&lt;=8),151,IF(AND(L880="Mittellos und ambulant",D885&gt;2,D885&lt;=4),188,IF(AND(L880="Mittellos und ambulant",D885&gt;1,D885&lt;=2),211,IF(AND(L880="Mittellos und ambulant",D885&gt;0,D885&lt;=1),258,IF(AND(L880="Mittellos und stationär",D885&gt;8,D885&lt;=1000),78,IF(AND(L880="Mittellos und stationär",D885&gt;4,D885&lt;=8),107,IF(AND(L880="Mittellos und stationär",D885&gt;2,D885&lt;=4),154,IF(AND(L880="Mittellos und stationär",D885&gt;1,D885&lt;=2),158,IF(AND(L880="Mittellos und stationär",D885&gt;0,D885&lt;=1),241,""))))))))))))))))))))),IF(M879="Stufe C",IF(AND(L880="Auswahl treffen",D885&gt;=0,D885&lt;=1000),J879,IF(AND(L880="Vermögend und ambulant",D885&gt;8,D885&lt;=1000),211,IF(AND(L880="Vermögend und ambulant",D885&gt;4,D885&lt;=8),257,IF(AND(L880="Vermögend und ambulant",D885&gt;2,D885&lt;=4),312,IF(AND(L880="Vermögend und ambulant",D885&gt;1,D885&lt;=2),339,IF(AND(L880="Vermögend und ambulant",D885&gt;0,D885&lt;=1),486,IF(AND(L880="Vermögend und stationär",D885&gt;8,D885&lt;=1000),127,IF(AND(L880="Vermögend und stationär",D885&gt;4,D885&lt;=8),149,IF(AND(L880="Vermögend und stationär",D885&gt;2,D885&lt;=4),229,IF(AND(L880="Vermögend und stationär",D885&gt;1,D885&lt;=2),257,IF(AND(L880="Vermögend und stationär",D885&gt;0,D885&lt;=1),327,IF(AND(L880="Mittellos und ambulant",D885&gt;8,D885&lt;=1000),171,IF(AND(L880="Mittellos und ambulant",D885&gt;4,D885&lt;=8),198,IF(AND(L880="Mittellos und ambulant",D885&gt;2,D885&lt;=4),246,IF(AND(L880="Mittellos und ambulant",D885&gt;1,D885&lt;=2),277,IF(AND(L880="Mittellos und ambulant",D885&gt;0,D885&lt;=1),339,IF(AND(L880="Mittellos und stationär",D885&gt;8,D885&lt;=1000),102,IF(AND(L880="Mittellos und stationär",D885&gt;4,D885&lt;=8),141,IF(AND(L880="Mittellos und stationär",D885&gt;2,D885&lt;=4),202,IF(AND(L880="Mittellos und stationär",D885&gt;1,D885&lt;=2),208,IF(AND(L880="Mittellos und stationär",D885&gt;0,D885&lt;=1),317,""))))))))))))))))))))),"")))*3+(J879*90)</f>
        <v>#NUM!</v>
      </c>
      <c r="M886" s="507" t="str">
        <f>CONCATENATE(K886, K885)</f>
        <v>+Inflat.-P</v>
      </c>
      <c r="N886" s="206"/>
      <c r="O886" s="207"/>
      <c r="P886" s="206" t="s">
        <v>118</v>
      </c>
      <c r="Q886" s="226"/>
      <c r="R886" s="189"/>
      <c r="S886" s="203"/>
      <c r="T886" s="203"/>
      <c r="U886" s="204"/>
      <c r="V886" s="192"/>
      <c r="W886" s="203"/>
      <c r="X886" s="203"/>
      <c r="Y886" s="204"/>
      <c r="Z886" s="192"/>
      <c r="AA886" s="209" t="s">
        <v>118</v>
      </c>
      <c r="AB886" s="209" t="s">
        <v>117</v>
      </c>
      <c r="AC886" s="204" t="s">
        <v>26</v>
      </c>
      <c r="AD886" s="192"/>
      <c r="AE886" s="203"/>
      <c r="AF886" s="203"/>
      <c r="AG886" s="204"/>
      <c r="AH886" s="193"/>
      <c r="AI886" s="203"/>
      <c r="AJ886" s="203"/>
      <c r="AK886" s="375"/>
      <c r="AL886" s="348" t="s">
        <v>150</v>
      </c>
      <c r="AM886" s="354"/>
      <c r="AN886" s="354"/>
      <c r="AO886" s="354">
        <f>IF(SUM(P880:P888)=SUM(AA880:AA888), 0, SUM(P880:P888)-SUM(AA880:AA888))</f>
        <v>0</v>
      </c>
      <c r="AP886" s="354"/>
      <c r="AQ886" s="350">
        <f>AM886+AN886+AO886+AP886</f>
        <v>0</v>
      </c>
      <c r="AR886" s="769"/>
      <c r="AS886" s="769"/>
      <c r="AT886" s="769"/>
      <c r="BM886" s="335"/>
    </row>
    <row r="887" spans="1:65" ht="22.25" customHeight="1">
      <c r="A887" s="181">
        <f t="shared" si="290"/>
        <v>45292</v>
      </c>
      <c r="B887" s="486"/>
      <c r="C887" s="489" t="s">
        <v>158</v>
      </c>
      <c r="D887" s="522" t="e">
        <f>D885+1</f>
        <v>#NUM!</v>
      </c>
      <c r="E887" s="211" t="e">
        <f>DATE(YEAR(E886),MONTH(E886),DAY(E886)+1)</f>
        <v>#NUM!</v>
      </c>
      <c r="F887" s="227" t="e">
        <f t="shared" si="304"/>
        <v>#NUM!</v>
      </c>
      <c r="G887" s="228" t="e">
        <f t="shared" si="305"/>
        <v>#NUM!</v>
      </c>
      <c r="H887" s="227" t="e">
        <f t="shared" si="306"/>
        <v>#NUM!</v>
      </c>
      <c r="I887" s="231">
        <f>IF(J886&lt;13,J886,"")</f>
        <v>3</v>
      </c>
      <c r="J887" s="230">
        <f>J888+3</f>
        <v>9</v>
      </c>
      <c r="K887" s="501" t="str">
        <f t="shared" si="294"/>
        <v/>
      </c>
      <c r="L887" s="471"/>
      <c r="M887" s="473" t="e">
        <f ca="1">SUM(J880-E888)&amp;" Tage"</f>
        <v>#NUM!</v>
      </c>
      <c r="N887" s="216"/>
      <c r="O887" s="188"/>
      <c r="P887" s="188"/>
      <c r="Q887" s="217"/>
      <c r="R887" s="189"/>
      <c r="S887" s="190"/>
      <c r="T887" s="190"/>
      <c r="U887" s="191"/>
      <c r="V887" s="192"/>
      <c r="W887" s="190"/>
      <c r="X887" s="190"/>
      <c r="Y887" s="191"/>
      <c r="Z887" s="192"/>
      <c r="AA887" s="190"/>
      <c r="AB887" s="190"/>
      <c r="AC887" s="191"/>
      <c r="AD887" s="192"/>
      <c r="AE887" s="190"/>
      <c r="AF887" s="190"/>
      <c r="AG887" s="191"/>
      <c r="AH887" s="193"/>
      <c r="AI887" s="190"/>
      <c r="AJ887" s="190"/>
      <c r="AK887" s="374"/>
      <c r="AL887" s="348"/>
      <c r="AM887" s="354"/>
      <c r="AN887" s="354"/>
      <c r="AO887" s="354"/>
      <c r="AP887" s="354"/>
      <c r="AQ887" s="350"/>
      <c r="AR887" s="769"/>
      <c r="AS887" s="769"/>
      <c r="AT887" s="769"/>
      <c r="BM887" s="335"/>
    </row>
    <row r="888" spans="1:65" ht="22.25" customHeight="1">
      <c r="A888" s="181">
        <f t="shared" si="290"/>
        <v>45292</v>
      </c>
      <c r="B888" s="485"/>
      <c r="C888" s="490"/>
      <c r="D888" s="521"/>
      <c r="E888" s="218" t="e">
        <f>DATE(YEAR(E887),MONTH(E887)+3,DAY(E887)-1)</f>
        <v>#NUM!</v>
      </c>
      <c r="F888" s="227" t="e">
        <f t="shared" si="304"/>
        <v>#NUM!</v>
      </c>
      <c r="G888" s="228" t="e">
        <f t="shared" si="305"/>
        <v>#NUM!</v>
      </c>
      <c r="H888" s="227" t="e">
        <f t="shared" si="306"/>
        <v>#NUM!</v>
      </c>
      <c r="I888" s="231">
        <f>IF(J885&lt;13,J885,"")</f>
        <v>0</v>
      </c>
      <c r="J888" s="230">
        <f>J886+3</f>
        <v>6</v>
      </c>
      <c r="K888" s="506" t="str">
        <f t="shared" si="294"/>
        <v>+Inflat.-P</v>
      </c>
      <c r="L888" s="508" t="e">
        <f>IF(M879="Stufe A",IF(AND(L880="Auswahl treffen",D887&gt;=0,D887&lt;=1000),J879,IF(AND(L880="Vermögend und ambulant",D887&gt;8,D887&lt;=1000),130,IF(AND(L880="Vermögend und ambulant",D887&gt;4,D887&lt;=8),158,IF(AND(L880="Vermögend und ambulant",D887&gt;2,D887&lt;=4),192,IF(AND(L880="Vermögend und ambulant",D887&gt;1,D887&lt;=2),208,IF(AND(L880="Vermögend und ambulant",D887&gt;0,D887&lt;=1),298,IF(AND(L880="Vermögend und stationär",D887&gt;8,D887&lt;=1000),78,IF(AND(L880="Vermögend und stationär",D887&gt;4,D887&lt;=8),91,IF(AND(L880="Vermögend und stationär",D887&gt;2,D887&lt;=4),140,IF(AND(L880="Vermögend und stationär",D887&gt;1,D887&lt;=2),158,IF(AND(L880="Vermögend und stationär",D887&gt;0,D887&lt;=1),200,IF(AND(L880="Mittellos und ambulant",D887&gt;8,D887&lt;=1000),105,IF(AND(L880="Mittellos und ambulant",D887&gt;4,D887&lt;=8),122,IF(AND(L880="Mittellos und ambulant",D887&gt;2,D887&lt;=4),151,IF(AND(L880="Mittellos und ambulant",D887&gt;1,D887&lt;=2),170,IF(AND(L880="Mittellos und ambulant",D887&gt;0,D887&lt;=1),208,IF(AND(L880="Mittellos und stationär",D887&gt;8,D887&lt;=1000),62,IF(AND(L880="Mittellos und stationär",D887&gt;4,D887&lt;=8),87,IF(AND(L880="Mittellos und stationär",D887&gt;2,D887&lt;=4),124,IF(AND(L880="Mittellos und stationär",D887&gt;1,D887&lt;=2),129,IF(AND(L880="Mittellos und stationär",D887&gt;0,D887&lt;=1),194,""))))))))))))))))))))),IF(M879="Stufe B",IF(AND(L880="Auswahl treffen",D887&gt;=0,D887&lt;=1000),J879,IF(AND(L880="Vermögend und ambulant",D887&gt;8,D887&lt;=1000),161,IF(AND(L880="Vermögend und ambulant",D887&gt;4,D887&lt;=8),196,IF(AND(L880="Vermögend und ambulant",D887&gt;2,D887&lt;=4),238,IF(AND(L880="Vermögend und ambulant",D887&gt;1,D887&lt;=2),258,IF(AND(L880="Vermögend und ambulant",D887&gt;0,D887&lt;=1),370,IF(AND(L880="Vermögend und stationär",D887&gt;8,D887&lt;=1000),96,IF(AND(L880="Vermögend und stationär",D887&gt;4,D887&lt;=8),113,IF(AND(L880="Vermögend und stationär",D887&gt;2,D887&lt;=4),174,IF(AND(L880="Vermögend und stationär",D887&gt;1,D887&lt;=2),196,IF(AND(L880="Vermögend und stationär",D887&gt;0,D887&lt;=1),249,IF(AND(L880="Mittellos und ambulant",D887&gt;8,D887&lt;=1000),130,IF(AND(L880="Mittellos und ambulant",D887&gt;4,D887&lt;=8),151,IF(AND(L880="Mittellos und ambulant",D887&gt;2,D887&lt;=4),188,IF(AND(L880="Mittellos und ambulant",D887&gt;1,D887&lt;=2),211,IF(AND(L880="Mittellos und ambulant",D887&gt;0,D887&lt;=1),258,IF(AND(L880="Mittellos und stationär",D887&gt;8,D887&lt;=1000),78,IF(AND(L880="Mittellos und stationär",D887&gt;4,D887&lt;=8),107,IF(AND(L880="Mittellos und stationär",D887&gt;2,D887&lt;=4),154,IF(AND(L880="Mittellos und stationär",D887&gt;1,D887&lt;=2),158,IF(AND(L880="Mittellos und stationär",D887&gt;0,D887&lt;=1),241,""))))))))))))))))))))),IF(M879="Stufe C",IF(AND(L880="Auswahl treffen",D887&gt;=0,D887&lt;=1000),J879,IF(AND(L880="Vermögend und ambulant",D887&gt;8,D887&lt;=1000),211,IF(AND(L880="Vermögend und ambulant",D887&gt;4,D887&lt;=8),257,IF(AND(L880="Vermögend und ambulant",D887&gt;2,D887&lt;=4),312,IF(AND(L880="Vermögend und ambulant",D887&gt;1,D887&lt;=2),339,IF(AND(L880="Vermögend und ambulant",D887&gt;0,D887&lt;=1),486,IF(AND(L880="Vermögend und stationär",D887&gt;8,D887&lt;=1000),127,IF(AND(L880="Vermögend und stationär",D887&gt;4,D887&lt;=8),149,IF(AND(L880="Vermögend und stationär",D887&gt;2,D887&lt;=4),229,IF(AND(L880="Vermögend und stationär",D887&gt;1,D887&lt;=2),257,IF(AND(L880="Vermögend und stationär",D887&gt;0,D887&lt;=1),327,IF(AND(L880="Mittellos und ambulant",D887&gt;8,D887&lt;=1000),171,IF(AND(L880="Mittellos und ambulant",D887&gt;4,D887&lt;=8),198,IF(AND(L880="Mittellos und ambulant",D887&gt;2,D887&lt;=4),246,IF(AND(L880="Mittellos und ambulant",D887&gt;1,D887&lt;=2),277,IF(AND(L880="Mittellos und ambulant",D887&gt;0,D887&lt;=1),339,IF(AND(L880="Mittellos und stationär",D887&gt;8,D887&lt;=1000),102,IF(AND(L880="Mittellos und stationär",D887&gt;4,D887&lt;=8),141,IF(AND(L880="Mittellos und stationär",D887&gt;2,D887&lt;=4),202,IF(AND(L880="Mittellos und stationär",D887&gt;1,D887&lt;=2),208,IF(AND(L880="Mittellos und stationär",D887&gt;0,D887&lt;=1),317,""))))))))))))))))))))),"")))*3+(J879*90)</f>
        <v>#NUM!</v>
      </c>
      <c r="M888" s="507" t="str">
        <f>CONCATENATE(K888, K887)</f>
        <v>+Inflat.-P</v>
      </c>
      <c r="N888" s="216"/>
      <c r="O888" s="188"/>
      <c r="P888" s="188"/>
      <c r="Q888" s="217" t="s">
        <v>118</v>
      </c>
      <c r="R888" s="189"/>
      <c r="S888" s="190"/>
      <c r="T888" s="190"/>
      <c r="U888" s="191"/>
      <c r="V888" s="192"/>
      <c r="W888" s="190"/>
      <c r="X888" s="190"/>
      <c r="Y888" s="191"/>
      <c r="Z888" s="192"/>
      <c r="AA888" s="190"/>
      <c r="AB888" s="190"/>
      <c r="AC888" s="191"/>
      <c r="AD888" s="192"/>
      <c r="AE888" s="190" t="s">
        <v>118</v>
      </c>
      <c r="AF888" s="190" t="s">
        <v>117</v>
      </c>
      <c r="AG888" s="191" t="s">
        <v>26</v>
      </c>
      <c r="AH888" s="193"/>
      <c r="AI888" s="190" t="s">
        <v>118</v>
      </c>
      <c r="AJ888" s="190" t="s">
        <v>117</v>
      </c>
      <c r="AK888" s="374" t="s">
        <v>26</v>
      </c>
      <c r="AL888" s="348" t="s">
        <v>151</v>
      </c>
      <c r="AM888" s="354"/>
      <c r="AN888" s="354"/>
      <c r="AO888" s="354"/>
      <c r="AP888" s="354">
        <f>IF(SUM(Q880:Q888)=SUM(AE880:AE888,AI880:AI888), 0, SUM(Q880:Q888)-SUM(AE880:AE888,AI880:AI888))</f>
        <v>0</v>
      </c>
      <c r="AQ888" s="350">
        <f>AM888+AN888+AO888+AP888</f>
        <v>0</v>
      </c>
      <c r="AR888" s="769"/>
      <c r="AS888" s="769"/>
      <c r="AT888" s="769"/>
      <c r="BM888" s="335"/>
    </row>
    <row r="889" spans="1:65" ht="22" customHeight="1">
      <c r="A889" s="181">
        <f t="shared" si="290"/>
        <v>45292</v>
      </c>
      <c r="B889" s="232" t="s">
        <v>74</v>
      </c>
      <c r="C889" s="233" t="s">
        <v>75</v>
      </c>
      <c r="D889" s="234" t="s">
        <v>76</v>
      </c>
      <c r="E889" s="235" t="s">
        <v>11</v>
      </c>
      <c r="F889" s="235" t="s">
        <v>4</v>
      </c>
      <c r="G889" s="235" t="s">
        <v>5</v>
      </c>
      <c r="H889" s="235" t="s">
        <v>6</v>
      </c>
      <c r="I889" s="236" t="s">
        <v>77</v>
      </c>
      <c r="J889" s="306"/>
      <c r="K889" s="501" t="str">
        <f t="shared" si="294"/>
        <v/>
      </c>
      <c r="L889" s="306" t="str">
        <f>IFERROR(VLOOKUP(B890,'Aktuelle Einnahmen'!A2:J104,10,0),"")</f>
        <v/>
      </c>
      <c r="M889" s="510" t="str">
        <f>M879</f>
        <v>Stufe C</v>
      </c>
      <c r="N889" s="237"/>
      <c r="O889" s="238"/>
      <c r="P889" s="238"/>
      <c r="Q889" s="239"/>
      <c r="R889" s="240"/>
      <c r="S889" s="241"/>
      <c r="T889" s="241"/>
      <c r="U889" s="242"/>
      <c r="V889" s="243"/>
      <c r="W889" s="241"/>
      <c r="X889" s="241"/>
      <c r="Y889" s="242"/>
      <c r="Z889" s="243"/>
      <c r="AA889" s="241"/>
      <c r="AB889" s="241"/>
      <c r="AC889" s="242"/>
      <c r="AD889" s="243"/>
      <c r="AE889" s="241"/>
      <c r="AF889" s="241"/>
      <c r="AG889" s="242"/>
      <c r="AH889" s="240"/>
      <c r="AI889" s="241"/>
      <c r="AJ889" s="241"/>
      <c r="AK889" s="377"/>
      <c r="AL889" s="347"/>
      <c r="AM889" s="353"/>
      <c r="AN889" s="353"/>
      <c r="AO889" s="353"/>
      <c r="AP889" s="353"/>
      <c r="AQ889" s="349"/>
      <c r="AR889" s="768"/>
      <c r="AS889" s="768"/>
      <c r="AT889" s="768"/>
      <c r="BM889" s="335"/>
    </row>
    <row r="890" spans="1:65" ht="23" customHeight="1">
      <c r="A890" s="181">
        <f t="shared" si="290"/>
        <v>45292</v>
      </c>
      <c r="B890" s="182">
        <v>89</v>
      </c>
      <c r="C890" s="245">
        <f>IFERROR(VLOOKUP($B890,'Aktuelle Einnahmen'!A2:G104,3,0),"")</f>
        <v>0</v>
      </c>
      <c r="D890" s="246">
        <f>IFERROR(VLOOKUP($B890,'Aktuelle Einnahmen'!A2:G104,2,0),"")</f>
        <v>0</v>
      </c>
      <c r="E890" s="247">
        <f>IFERROR(VLOOKUP($B890,'Aktuelle Einnahmen'!A2:G104,4,0),"")</f>
        <v>0</v>
      </c>
      <c r="F890" s="94">
        <f>IFERROR(VLOOKUP($B890,'Aktuelle Einnahmen'!A2:G104,5,0),"")</f>
        <v>0</v>
      </c>
      <c r="G890" s="94">
        <f>IFERROR(VLOOKUP($B890,'Aktuelle Einnahmen'!A2:G104,6,0),"")</f>
        <v>0</v>
      </c>
      <c r="H890" s="94">
        <f>IFERROR(VLOOKUP($B890,'Aktuelle Einnahmen'!A2:G104,7,0),"")</f>
        <v>0</v>
      </c>
      <c r="I890" s="186" t="e">
        <f>DATE(H890,G890,F890)</f>
        <v>#NUM!</v>
      </c>
      <c r="J890" s="472">
        <f ca="1">J880</f>
        <v>45475</v>
      </c>
      <c r="K890" s="506" t="str">
        <f t="shared" si="294"/>
        <v>+Inflat.-P</v>
      </c>
      <c r="L890" s="1262" t="str">
        <f>IFERROR(VLOOKUP(B890,'Aktuelle Einnahmen'!A22:I124,9,0),"")</f>
        <v>Auswahl treffen</v>
      </c>
      <c r="M890" s="1263"/>
      <c r="N890" s="261"/>
      <c r="O890" s="261"/>
      <c r="P890" s="261"/>
      <c r="Q890" s="261"/>
      <c r="R890" s="189"/>
      <c r="S890" s="190"/>
      <c r="T890" s="190"/>
      <c r="U890" s="191"/>
      <c r="V890" s="192"/>
      <c r="W890" s="190"/>
      <c r="X890" s="190"/>
      <c r="Y890" s="191"/>
      <c r="Z890" s="192"/>
      <c r="AA890" s="190"/>
      <c r="AB890" s="190"/>
      <c r="AC890" s="191"/>
      <c r="AD890" s="192"/>
      <c r="AE890" s="190"/>
      <c r="AF890" s="190"/>
      <c r="AG890" s="191"/>
      <c r="AH890" s="193"/>
      <c r="AI890" s="190"/>
      <c r="AJ890" s="190"/>
      <c r="AK890" s="374"/>
      <c r="AL890" s="348"/>
      <c r="AM890" s="354"/>
      <c r="AN890" s="354"/>
      <c r="AO890" s="354"/>
      <c r="AP890" s="354"/>
      <c r="AQ890" s="350"/>
      <c r="AR890" s="769"/>
      <c r="AS890" s="769"/>
      <c r="AT890" s="769"/>
      <c r="BM890" s="335"/>
    </row>
    <row r="891" spans="1:65" ht="22.25" customHeight="1">
      <c r="A891" s="181">
        <f t="shared" si="290"/>
        <v>45292</v>
      </c>
      <c r="B891" s="484" t="e">
        <f>DAY(I890)</f>
        <v>#NUM!</v>
      </c>
      <c r="C891" s="489" t="s">
        <v>158</v>
      </c>
      <c r="D891" s="520" t="e">
        <f>(I891*4)+J891/3+1</f>
        <v>#NUM!</v>
      </c>
      <c r="E891" s="194" t="e">
        <f>J893+1</f>
        <v>#NUM!</v>
      </c>
      <c r="F891" s="195" t="e">
        <f t="shared" ref="F891:F898" si="307">DAY(E891)</f>
        <v>#NUM!</v>
      </c>
      <c r="G891" s="196" t="e">
        <f t="shared" ref="G891:G898" si="308">MONTH(E891)</f>
        <v>#NUM!</v>
      </c>
      <c r="H891" s="195" t="e">
        <f t="shared" ref="H891:H898" si="309">YEAR(E891)</f>
        <v>#NUM!</v>
      </c>
      <c r="I891" s="197" t="e">
        <f>H891-(H890+2000)</f>
        <v>#NUM!</v>
      </c>
      <c r="J891" s="198" t="e">
        <f>G891-G890</f>
        <v>#NUM!</v>
      </c>
      <c r="K891" s="506" t="str">
        <f>L889</f>
        <v/>
      </c>
      <c r="L891" s="469"/>
      <c r="M891" s="473" t="e">
        <f ca="1">SUM(J890-E892)&amp;" Tage"</f>
        <v>#NUM!</v>
      </c>
      <c r="N891" s="206"/>
      <c r="O891" s="201"/>
      <c r="P891" s="201"/>
      <c r="Q891" s="202"/>
      <c r="R891" s="189"/>
      <c r="S891" s="203"/>
      <c r="T891" s="203"/>
      <c r="U891" s="204"/>
      <c r="V891" s="192"/>
      <c r="W891" s="203"/>
      <c r="X891" s="203"/>
      <c r="Y891" s="204"/>
      <c r="Z891" s="192"/>
      <c r="AA891" s="203"/>
      <c r="AB891" s="203"/>
      <c r="AC891" s="204"/>
      <c r="AD891" s="192"/>
      <c r="AE891" s="203"/>
      <c r="AF891" s="203"/>
      <c r="AG891" s="204"/>
      <c r="AH891" s="193"/>
      <c r="AI891" s="203"/>
      <c r="AJ891" s="203"/>
      <c r="AK891" s="375"/>
      <c r="AL891" s="348"/>
      <c r="AM891" s="354"/>
      <c r="AN891" s="354"/>
      <c r="AO891" s="354"/>
      <c r="AP891" s="354"/>
      <c r="AQ891" s="350"/>
      <c r="AR891" s="769"/>
      <c r="AS891" s="769"/>
      <c r="AT891" s="769"/>
      <c r="BM891" s="335"/>
    </row>
    <row r="892" spans="1:65" ht="22.25" customHeight="1">
      <c r="A892" s="181">
        <f t="shared" si="290"/>
        <v>45292</v>
      </c>
      <c r="B892" s="485"/>
      <c r="C892" s="490"/>
      <c r="D892" s="521"/>
      <c r="E892" s="194" t="e">
        <f>DATE(YEAR(E891),MONTH(E891)+3,DAY(E891)-1)</f>
        <v>#NUM!</v>
      </c>
      <c r="F892" s="195" t="e">
        <f t="shared" si="307"/>
        <v>#NUM!</v>
      </c>
      <c r="G892" s="196" t="e">
        <f t="shared" si="308"/>
        <v>#NUM!</v>
      </c>
      <c r="H892" s="195" t="e">
        <f t="shared" si="309"/>
        <v>#NUM!</v>
      </c>
      <c r="I892" s="244">
        <v>-1</v>
      </c>
      <c r="J892" s="198" t="e">
        <f>F891-F890</f>
        <v>#NUM!</v>
      </c>
      <c r="K892" s="506" t="str">
        <f t="shared" si="294"/>
        <v>+Inflat.-P</v>
      </c>
      <c r="L892" s="511" t="e">
        <f>IF(M889="Stufe A",IF(AND(L890="Auswahl treffen",D891&gt;=0,D891&lt;=1000),J889,IF(AND(L890="Vermögend und ambulant",D891&gt;8,D891&lt;=1000),130,IF(AND(L890="Vermögend und ambulant",D891&gt;4,D891&lt;=8),158,IF(AND(L890="Vermögend und ambulant",D891&gt;2,D891&lt;=4),192,IF(AND(L890="Vermögend und ambulant",D891&gt;1,D891&lt;=2),208,IF(AND(L890="Vermögend und ambulant",D891&gt;0,D891&lt;=1),298,IF(AND(L890="Vermögend und stationär",D891&gt;8,D891&lt;=1000),78,IF(AND(L890="Vermögend und stationär",D891&gt;4,D891&lt;=8),91,IF(AND(L890="Vermögend und stationär",D891&gt;2,D891&lt;=4),140,IF(AND(L890="Vermögend und stationär",D891&gt;1,D891&lt;=2),158,IF(AND(L890="Vermögend und stationär",D891&gt;0,D891&lt;=1),200,IF(AND(L890="Mittellos und ambulant",D891&gt;8,D891&lt;=1000),105,IF(AND(L890="Mittellos und ambulant",D891&gt;4,D891&lt;=8),122,IF(AND(L890="Mittellos und ambulant",D891&gt;2,D891&lt;=4),151,IF(AND(L890="Mittellos und ambulant",D891&gt;1,D891&lt;=2),170,IF(AND(L890="Mittellos und ambulant",D891&gt;0,D891&lt;=1),208,IF(AND(L890="Mittellos und stationär",D891&gt;8,D891&lt;=1000),62,IF(AND(L890="Mittellos und stationär",D891&gt;4,D891&lt;=8),87,IF(AND(L890="Mittellos und stationär",D891&gt;2,D891&lt;=4),124,IF(AND(L890="Mittellos und stationär",D891&gt;1,D891&lt;=2),129,IF(AND(L890="Mittellos und stationär",D891&gt;0,D891&lt;=1),194,""))))))))))))))))))))),IF(M889="Stufe B",IF(AND(L890="Auswahl treffen",D891&gt;=0,D891&lt;=1000),J889,IF(AND(L890="Vermögend und ambulant",D891&gt;8,D891&lt;=1000),161,IF(AND(L890="Vermögend und ambulant",D891&gt;4,D891&lt;=8),196,IF(AND(L890="Vermögend und ambulant",D891&gt;2,D891&lt;=4),238,IF(AND(L890="Vermögend und ambulant",D891&gt;1,D891&lt;=2),258,IF(AND(L890="Vermögend und ambulant",D891&gt;0,D891&lt;=1),370,IF(AND(L890="Vermögend und stationär",D891&gt;8,D891&lt;=1000),96,IF(AND(L890="Vermögend und stationär",D891&gt;4,D891&lt;=8),113,IF(AND(L890="Vermögend und stationär",D891&gt;2,D891&lt;=4),174,IF(AND(L890="Vermögend und stationär",D891&gt;1,D891&lt;=2),196,IF(AND(L890="Vermögend und stationär",D891&gt;0,D891&lt;=1),249,IF(AND(L890="Mittellos und ambulant",D891&gt;8,D891&lt;=1000),130,IF(AND(L890="Mittellos und ambulant",D891&gt;4,D891&lt;=8),151,IF(AND(L890="Mittellos und ambulant",D891&gt;2,D891&lt;=4),188,IF(AND(L890="Mittellos und ambulant",D891&gt;1,D891&lt;=2),211,IF(AND(L890="Mittellos und ambulant",D891&gt;0,D891&lt;=1),258,IF(AND(L890="Mittellos und stationär",D891&gt;8,D891&lt;=1000),78,IF(AND(L890="Mittellos und stationär",D891&gt;4,D891&lt;=8),107,IF(AND(L890="Mittellos und stationär",D891&gt;2,D891&lt;=4),154,IF(AND(L890="Mittellos und stationär",D891&gt;1,D891&lt;=2),158,IF(AND(L890="Mittellos und stationär",D891&gt;0,D891&lt;=1),241,""))))))))))))))))))))),IF(M889="Stufe C",IF(AND(L890="Auswahl treffen",D891&gt;=0,D891&lt;=1000),J889,IF(AND(L890="Vermögend und ambulant",D891&gt;8,D891&lt;=1000),211,IF(AND(L890="Vermögend und ambulant",D891&gt;4,D891&lt;=8),257,IF(AND(L890="Vermögend und ambulant",D891&gt;2,D891&lt;=4),312,IF(AND(L890="Vermögend und ambulant",D891&gt;1,D891&lt;=2),339,IF(AND(L890="Vermögend und ambulant",D891&gt;0,D891&lt;=1),486,IF(AND(L890="Vermögend und stationär",D891&gt;8,D891&lt;=1000),127,IF(AND(L890="Vermögend und stationär",D891&gt;4,D891&lt;=8),149,IF(AND(L890="Vermögend und stationär",D891&gt;2,D891&lt;=4),229,IF(AND(L890="Vermögend und stationär",D891&gt;1,D891&lt;=2),257,IF(AND(L890="Vermögend und stationär",D891&gt;0,D891&lt;=1),327,IF(AND(L890="Mittellos und ambulant",D891&gt;8,D891&lt;=1000),171,IF(AND(L890="Mittellos und ambulant",D891&gt;4,D891&lt;=8),198,IF(AND(L890="Mittellos und ambulant",D891&gt;2,D891&lt;=4),246,IF(AND(L890="Mittellos und ambulant",D891&gt;1,D891&lt;=2),277,IF(AND(L890="Mittellos und ambulant",D891&gt;0,D891&lt;=1),339,IF(AND(L890="Mittellos und stationär",D891&gt;8,D891&lt;=1000),102,IF(AND(L890="Mittellos und stationär",D891&gt;4,D891&lt;=8),141,IF(AND(L890="Mittellos und stationär",D891&gt;2,D891&lt;=4),202,IF(AND(L890="Mittellos und stationär",D891&gt;1,D891&lt;=2),208,IF(AND(L890="Mittellos und stationär",D891&gt;0,D891&lt;=1),317,""))))))))))))))))))))),"")))*3+(J889*90)</f>
        <v>#NUM!</v>
      </c>
      <c r="M892" s="507" t="str">
        <f>CONCATENATE(K892, K891)</f>
        <v>+Inflat.-P</v>
      </c>
      <c r="N892" s="206" t="s">
        <v>118</v>
      </c>
      <c r="O892" s="207"/>
      <c r="P892" s="207"/>
      <c r="Q892" s="208"/>
      <c r="R892" s="187"/>
      <c r="S892" s="209" t="s">
        <v>118</v>
      </c>
      <c r="T892" s="201" t="s">
        <v>117</v>
      </c>
      <c r="U892" s="210" t="s">
        <v>26</v>
      </c>
      <c r="V892" s="192"/>
      <c r="W892" s="203"/>
      <c r="X892" s="203"/>
      <c r="Y892" s="210"/>
      <c r="Z892" s="192"/>
      <c r="AA892" s="203"/>
      <c r="AB892" s="203"/>
      <c r="AC892" s="210"/>
      <c r="AD892" s="192"/>
      <c r="AE892" s="203"/>
      <c r="AF892" s="203"/>
      <c r="AG892" s="210"/>
      <c r="AH892" s="193"/>
      <c r="AI892" s="203"/>
      <c r="AJ892" s="203"/>
      <c r="AK892" s="376"/>
      <c r="AL892" s="348" t="s">
        <v>148</v>
      </c>
      <c r="AM892" s="354">
        <f>IF(SUM(N890:N898)=SUM(S890:S898), 0, SUM(N890:N898)-SUM(S890:S898))</f>
        <v>0</v>
      </c>
      <c r="AN892" s="354"/>
      <c r="AO892" s="354"/>
      <c r="AP892" s="354"/>
      <c r="AQ892" s="350">
        <f>AM892+AN892+AO892+AP892</f>
        <v>0</v>
      </c>
      <c r="AR892" s="769"/>
      <c r="AS892" s="769"/>
      <c r="AT892" s="769"/>
      <c r="BM892" s="335"/>
    </row>
    <row r="893" spans="1:65" ht="22.25" customHeight="1">
      <c r="A893" s="181">
        <f t="shared" si="290"/>
        <v>45292</v>
      </c>
      <c r="B893" s="484" t="e">
        <f>MONTH(I890)</f>
        <v>#NUM!</v>
      </c>
      <c r="C893" s="489" t="s">
        <v>158</v>
      </c>
      <c r="D893" s="522" t="e">
        <f>D891+1</f>
        <v>#NUM!</v>
      </c>
      <c r="E893" s="211" t="e">
        <f>DATE(YEAR(E892),MONTH(E892),DAY(E892)+1)</f>
        <v>#NUM!</v>
      </c>
      <c r="F893" s="212" t="e">
        <f t="shared" si="307"/>
        <v>#NUM!</v>
      </c>
      <c r="G893" s="213" t="e">
        <f t="shared" si="308"/>
        <v>#NUM!</v>
      </c>
      <c r="H893" s="212" t="e">
        <f t="shared" si="309"/>
        <v>#NUM!</v>
      </c>
      <c r="I893" s="214" t="str">
        <f>IF(D890&lt;&gt;0,"-1T","")</f>
        <v/>
      </c>
      <c r="J893" s="215" t="e">
        <f>DATE($B895,I894,$B891)</f>
        <v>#NUM!</v>
      </c>
      <c r="K893" s="501" t="str">
        <f t="shared" si="294"/>
        <v/>
      </c>
      <c r="L893" s="470"/>
      <c r="M893" s="473" t="e">
        <f ca="1">SUM(J890-E894)&amp;" Tage"</f>
        <v>#NUM!</v>
      </c>
      <c r="N893" s="216"/>
      <c r="O893" s="217"/>
      <c r="P893" s="188"/>
      <c r="Q893" s="217"/>
      <c r="R893" s="189"/>
      <c r="S893" s="190"/>
      <c r="T893" s="190"/>
      <c r="U893" s="191"/>
      <c r="V893" s="192"/>
      <c r="W893" s="190"/>
      <c r="X893" s="190"/>
      <c r="Y893" s="191"/>
      <c r="Z893" s="192"/>
      <c r="AA893" s="190"/>
      <c r="AB893" s="190"/>
      <c r="AC893" s="191"/>
      <c r="AD893" s="192"/>
      <c r="AE893" s="190"/>
      <c r="AF893" s="190"/>
      <c r="AG893" s="191"/>
      <c r="AH893" s="193"/>
      <c r="AI893" s="190"/>
      <c r="AJ893" s="190"/>
      <c r="AK893" s="374"/>
      <c r="AL893" s="348"/>
      <c r="AM893" s="354"/>
      <c r="AN893" s="354"/>
      <c r="AO893" s="354"/>
      <c r="AP893" s="354"/>
      <c r="AQ893" s="350"/>
      <c r="AR893" s="769"/>
      <c r="AS893" s="769"/>
      <c r="AT893" s="769"/>
      <c r="BM893" s="335"/>
    </row>
    <row r="894" spans="1:65" ht="22.25" customHeight="1">
      <c r="A894" s="181">
        <f t="shared" si="290"/>
        <v>45292</v>
      </c>
      <c r="B894" s="485"/>
      <c r="C894" s="490"/>
      <c r="D894" s="521"/>
      <c r="E894" s="218" t="e">
        <f>DATE(YEAR(E893),MONTH(E893)+3,DAY(E893)-1)</f>
        <v>#NUM!</v>
      </c>
      <c r="F894" s="212" t="e">
        <f t="shared" si="307"/>
        <v>#NUM!</v>
      </c>
      <c r="G894" s="213" t="e">
        <f t="shared" si="308"/>
        <v>#NUM!</v>
      </c>
      <c r="H894" s="212" t="e">
        <f t="shared" si="309"/>
        <v>#NUM!</v>
      </c>
      <c r="I894" s="219">
        <f>MAX(I895:I898)</f>
        <v>9</v>
      </c>
      <c r="J894" s="220" t="e">
        <f>DATE(YEAR(J893)+1,MONTH(J893),DAY(J893))</f>
        <v>#NUM!</v>
      </c>
      <c r="K894" s="501" t="str">
        <f t="shared" si="294"/>
        <v>+Inflat.-P</v>
      </c>
      <c r="L894" s="508" t="e">
        <f>IF(M889="Stufe A",IF(AND(L890="Auswahl treffen",D893&gt;=0,D893&lt;=1000),J889,IF(AND(L890="Vermögend und ambulant",D893&gt;8,D893&lt;=1000),130,IF(AND(L890="Vermögend und ambulant",D893&gt;4,D893&lt;=8),158,IF(AND(L890="Vermögend und ambulant",D893&gt;2,D893&lt;=4),192,IF(AND(L890="Vermögend und ambulant",D893&gt;1,D893&lt;=2),208,IF(AND(L890="Vermögend und ambulant",D893&gt;0,D893&lt;=1),298,IF(AND(L890="Vermögend und stationär",D893&gt;8,D893&lt;=1000),78,IF(AND(L890="Vermögend und stationär",D893&gt;4,D893&lt;=8),91,IF(AND(L890="Vermögend und stationär",D893&gt;2,D893&lt;=4),140,IF(AND(L890="Vermögend und stationär",D893&gt;1,D893&lt;=2),158,IF(AND(L890="Vermögend und stationär",D893&gt;0,D893&lt;=1),200,IF(AND(L890="Mittellos und ambulant",D893&gt;8,D893&lt;=1000),105,IF(AND(L890="Mittellos und ambulant",D893&gt;4,D893&lt;=8),122,IF(AND(L890="Mittellos und ambulant",D893&gt;2,D893&lt;=4),151,IF(AND(L890="Mittellos und ambulant",D893&gt;1,D893&lt;=2),170,IF(AND(L890="Mittellos und ambulant",D893&gt;0,D893&lt;=1),208,IF(AND(L890="Mittellos und stationär",D893&gt;8,D893&lt;=1000),62,IF(AND(L890="Mittellos und stationär",D893&gt;4,D893&lt;=8),87,IF(AND(L890="Mittellos und stationär",D893&gt;2,D893&lt;=4),124,IF(AND(L890="Mittellos und stationär",D893&gt;1,D893&lt;=2),129,IF(AND(L890="Mittellos und stationär",D893&gt;0,D893&lt;=1),194,""))))))))))))))))))))),IF(M889="Stufe B",IF(AND(L890="Auswahl treffen",D893&gt;=0,D893&lt;=1000),J889,IF(AND(L890="Vermögend und ambulant",D893&gt;8,D893&lt;=1000),161,IF(AND(L890="Vermögend und ambulant",D893&gt;4,D893&lt;=8),196,IF(AND(L890="Vermögend und ambulant",D893&gt;2,D893&lt;=4),238,IF(AND(L890="Vermögend und ambulant",D893&gt;1,D893&lt;=2),258,IF(AND(L890="Vermögend und ambulant",D893&gt;0,D893&lt;=1),370,IF(AND(L890="Vermögend und stationär",D893&gt;8,D893&lt;=1000),96,IF(AND(L890="Vermögend und stationär",D893&gt;4,D893&lt;=8),113,IF(AND(L890="Vermögend und stationär",D893&gt;2,D893&lt;=4),174,IF(AND(L890="Vermögend und stationär",D893&gt;1,D893&lt;=2),196,IF(AND(L890="Vermögend und stationär",D893&gt;0,D893&lt;=1),249,IF(AND(L890="Mittellos und ambulant",D893&gt;8,D893&lt;=1000),130,IF(AND(L890="Mittellos und ambulant",D893&gt;4,D893&lt;=8),151,IF(AND(L890="Mittellos und ambulant",D893&gt;2,D893&lt;=4),188,IF(AND(L890="Mittellos und ambulant",D893&gt;1,D893&lt;=2),211,IF(AND(L890="Mittellos und ambulant",D893&gt;0,D893&lt;=1),258,IF(AND(L890="Mittellos und stationär",D893&gt;8,D893&lt;=1000),78,IF(AND(L890="Mittellos und stationär",D893&gt;4,D893&lt;=8),107,IF(AND(L890="Mittellos und stationär",D893&gt;2,D893&lt;=4),154,IF(AND(L890="Mittellos und stationär",D893&gt;1,D893&lt;=2),158,IF(AND(L890="Mittellos und stationär",D893&gt;0,D893&lt;=1),241,""))))))))))))))))))))),IF(M889="Stufe C",IF(AND(L890="Auswahl treffen",D893&gt;=0,D893&lt;=1000),J889,IF(AND(L890="Vermögend und ambulant",D893&gt;8,D893&lt;=1000),211,IF(AND(L890="Vermögend und ambulant",D893&gt;4,D893&lt;=8),257,IF(AND(L890="Vermögend und ambulant",D893&gt;2,D893&lt;=4),312,IF(AND(L890="Vermögend und ambulant",D893&gt;1,D893&lt;=2),339,IF(AND(L890="Vermögend und ambulant",D893&gt;0,D893&lt;=1),486,IF(AND(L890="Vermögend und stationär",D893&gt;8,D893&lt;=1000),127,IF(AND(L890="Vermögend und stationär",D893&gt;4,D893&lt;=8),149,IF(AND(L890="Vermögend und stationär",D893&gt;2,D893&lt;=4),229,IF(AND(L890="Vermögend und stationär",D893&gt;1,D893&lt;=2),257,IF(AND(L890="Vermögend und stationär",D893&gt;0,D893&lt;=1),327,IF(AND(L890="Mittellos und ambulant",D893&gt;8,D893&lt;=1000),171,IF(AND(L890="Mittellos und ambulant",D893&gt;4,D893&lt;=8),198,IF(AND(L890="Mittellos und ambulant",D893&gt;2,D893&lt;=4),246,IF(AND(L890="Mittellos und ambulant",D893&gt;1,D893&lt;=2),277,IF(AND(L890="Mittellos und ambulant",D893&gt;0,D893&lt;=1),339,IF(AND(L890="Mittellos und stationär",D893&gt;8,D893&lt;=1000),102,IF(AND(L890="Mittellos und stationär",D893&gt;4,D893&lt;=8),141,IF(AND(L890="Mittellos und stationär",D893&gt;2,D893&lt;=4),202,IF(AND(L890="Mittellos und stationär",D893&gt;1,D893&lt;=2),208,IF(AND(L890="Mittellos und stationär",D893&gt;0,D893&lt;=1),317,""))))))))))))))))))))),"")))*3+(J889*90)</f>
        <v>#NUM!</v>
      </c>
      <c r="M894" s="507" t="str">
        <f>CONCATENATE(K894, K893)</f>
        <v>+Inflat.-P</v>
      </c>
      <c r="N894" s="216"/>
      <c r="O894" s="188" t="s">
        <v>118</v>
      </c>
      <c r="P894" s="188"/>
      <c r="Q894" s="221"/>
      <c r="R894" s="199"/>
      <c r="S894" s="190"/>
      <c r="T894" s="190"/>
      <c r="U894" s="191"/>
      <c r="V894" s="192"/>
      <c r="W894" s="222" t="s">
        <v>118</v>
      </c>
      <c r="X894" s="222" t="s">
        <v>117</v>
      </c>
      <c r="Y894" s="191" t="s">
        <v>26</v>
      </c>
      <c r="Z894" s="192"/>
      <c r="AA894" s="190"/>
      <c r="AB894" s="190"/>
      <c r="AC894" s="191"/>
      <c r="AD894" s="192"/>
      <c r="AE894" s="190"/>
      <c r="AF894" s="190"/>
      <c r="AG894" s="191"/>
      <c r="AH894" s="193"/>
      <c r="AI894" s="190"/>
      <c r="AJ894" s="190"/>
      <c r="AK894" s="374"/>
      <c r="AL894" s="348" t="s">
        <v>149</v>
      </c>
      <c r="AM894" s="354"/>
      <c r="AN894" s="354">
        <f>IF(SUM(O890:O898)=SUM(W890:W898), 0, SUM(O890:O898)-SUM(W890:W898))</f>
        <v>0</v>
      </c>
      <c r="AO894" s="354"/>
      <c r="AP894" s="354"/>
      <c r="AQ894" s="350">
        <f>AM894+AN894+AO894+AP894</f>
        <v>0</v>
      </c>
      <c r="AR894" s="769"/>
      <c r="AS894" s="769"/>
      <c r="AT894" s="769"/>
      <c r="BM894" s="335"/>
    </row>
    <row r="895" spans="1:65" ht="22.25" customHeight="1">
      <c r="A895" s="181">
        <f t="shared" si="290"/>
        <v>45292</v>
      </c>
      <c r="B895" s="484">
        <f>YEAR($A896)-1</f>
        <v>2023</v>
      </c>
      <c r="C895" s="489" t="s">
        <v>158</v>
      </c>
      <c r="D895" s="520" t="e">
        <f>D893+1</f>
        <v>#NUM!</v>
      </c>
      <c r="E895" s="194" t="e">
        <f>DATE(YEAR(E894),MONTH(E894),DAY(E894)+1)</f>
        <v>#NUM!</v>
      </c>
      <c r="F895" s="195" t="e">
        <f t="shared" si="307"/>
        <v>#NUM!</v>
      </c>
      <c r="G895" s="196" t="e">
        <f t="shared" si="308"/>
        <v>#NUM!</v>
      </c>
      <c r="H895" s="195" t="e">
        <f t="shared" si="309"/>
        <v>#NUM!</v>
      </c>
      <c r="I895" s="197">
        <f>IF(J897&lt;13,J897,"")</f>
        <v>9</v>
      </c>
      <c r="J895" s="224">
        <f>G890</f>
        <v>0</v>
      </c>
      <c r="K895" s="506" t="str">
        <f t="shared" si="294"/>
        <v/>
      </c>
      <c r="L895" s="471"/>
      <c r="M895" s="473" t="e">
        <f ca="1">SUM(J890-E896)&amp;" Tage"</f>
        <v>#NUM!</v>
      </c>
      <c r="N895" s="200"/>
      <c r="O895" s="201"/>
      <c r="P895" s="201"/>
      <c r="Q895" s="202"/>
      <c r="R895" s="189"/>
      <c r="S895" s="203"/>
      <c r="T895" s="203"/>
      <c r="U895" s="204"/>
      <c r="V895" s="192"/>
      <c r="W895" s="203"/>
      <c r="X895" s="203"/>
      <c r="Y895" s="204"/>
      <c r="Z895" s="192"/>
      <c r="AA895" s="203"/>
      <c r="AB895" s="203"/>
      <c r="AC895" s="204"/>
      <c r="AD895" s="192"/>
      <c r="AE895" s="203"/>
      <c r="AF895" s="203"/>
      <c r="AG895" s="204"/>
      <c r="AH895" s="193"/>
      <c r="AI895" s="203"/>
      <c r="AJ895" s="203"/>
      <c r="AK895" s="375"/>
      <c r="AL895" s="348"/>
      <c r="AM895" s="354"/>
      <c r="AN895" s="354"/>
      <c r="AO895" s="354"/>
      <c r="AP895" s="354"/>
      <c r="AQ895" s="350"/>
      <c r="AR895" s="769"/>
      <c r="AS895" s="769"/>
      <c r="AT895" s="769"/>
      <c r="BM895" s="335"/>
    </row>
    <row r="896" spans="1:65" ht="22.25" customHeight="1">
      <c r="A896" s="181">
        <f t="shared" si="290"/>
        <v>45292</v>
      </c>
      <c r="B896" s="485"/>
      <c r="C896" s="490"/>
      <c r="D896" s="521"/>
      <c r="E896" s="194" t="e">
        <f>DATE(YEAR(E895),MONTH(E895)+3,DAY(E895)-1)</f>
        <v>#NUM!</v>
      </c>
      <c r="F896" s="195" t="e">
        <f t="shared" si="307"/>
        <v>#NUM!</v>
      </c>
      <c r="G896" s="196" t="e">
        <f t="shared" si="308"/>
        <v>#NUM!</v>
      </c>
      <c r="H896" s="195" t="e">
        <f t="shared" si="309"/>
        <v>#NUM!</v>
      </c>
      <c r="I896" s="244">
        <f>IF(J898&lt;13,J898,"")</f>
        <v>6</v>
      </c>
      <c r="J896" s="224">
        <f>J895+3</f>
        <v>3</v>
      </c>
      <c r="K896" s="501" t="str">
        <f t="shared" si="294"/>
        <v>+Inflat.-P</v>
      </c>
      <c r="L896" s="511" t="e">
        <f>IF(M889="Stufe A",IF(AND(L890="Auswahl treffen",D895&gt;=0,D895&lt;=1000),J889,IF(AND(L890="Vermögend und ambulant",D895&gt;8,D895&lt;=1000),130,IF(AND(L890="Vermögend und ambulant",D895&gt;4,D895&lt;=8),158,IF(AND(L890="Vermögend und ambulant",D895&gt;2,D895&lt;=4),192,IF(AND(L890="Vermögend und ambulant",D895&gt;1,D895&lt;=2),208,IF(AND(L890="Vermögend und ambulant",D895&gt;0,D895&lt;=1),298,IF(AND(L890="Vermögend und stationär",D895&gt;8,D895&lt;=1000),78,IF(AND(L890="Vermögend und stationär",D895&gt;4,D895&lt;=8),91,IF(AND(L890="Vermögend und stationär",D895&gt;2,D895&lt;=4),140,IF(AND(L890="Vermögend und stationär",D895&gt;1,D895&lt;=2),158,IF(AND(L890="Vermögend und stationär",D895&gt;0,D895&lt;=1),200,IF(AND(L890="Mittellos und ambulant",D895&gt;8,D895&lt;=1000),105,IF(AND(L890="Mittellos und ambulant",D895&gt;4,D895&lt;=8),122,IF(AND(L890="Mittellos und ambulant",D895&gt;2,D895&lt;=4),151,IF(AND(L890="Mittellos und ambulant",D895&gt;1,D895&lt;=2),170,IF(AND(L890="Mittellos und ambulant",D895&gt;0,D895&lt;=1),208,IF(AND(L890="Mittellos und stationär",D895&gt;8,D895&lt;=1000),62,IF(AND(L890="Mittellos und stationär",D895&gt;4,D895&lt;=8),87,IF(AND(L890="Mittellos und stationär",D895&gt;2,D895&lt;=4),124,IF(AND(L890="Mittellos und stationär",D895&gt;1,D895&lt;=2),129,IF(AND(L890="Mittellos und stationär",D895&gt;0,D895&lt;=1),194,""))))))))))))))))))))),IF(M889="Stufe B",IF(AND(L890="Auswahl treffen",D895&gt;=0,D895&lt;=1000),J889,IF(AND(L890="Vermögend und ambulant",D895&gt;8,D895&lt;=1000),161,IF(AND(L890="Vermögend und ambulant",D895&gt;4,D895&lt;=8),196,IF(AND(L890="Vermögend und ambulant",D895&gt;2,D895&lt;=4),238,IF(AND(L890="Vermögend und ambulant",D895&gt;1,D895&lt;=2),258,IF(AND(L890="Vermögend und ambulant",D895&gt;0,D895&lt;=1),370,IF(AND(L890="Vermögend und stationär",D895&gt;8,D895&lt;=1000),96,IF(AND(L890="Vermögend und stationär",D895&gt;4,D895&lt;=8),113,IF(AND(L890="Vermögend und stationär",D895&gt;2,D895&lt;=4),174,IF(AND(L890="Vermögend und stationär",D895&gt;1,D895&lt;=2),196,IF(AND(L890="Vermögend und stationär",D895&gt;0,D895&lt;=1),249,IF(AND(L890="Mittellos und ambulant",D895&gt;8,D895&lt;=1000),130,IF(AND(L890="Mittellos und ambulant",D895&gt;4,D895&lt;=8),151,IF(AND(L890="Mittellos und ambulant",D895&gt;2,D895&lt;=4),188,IF(AND(L890="Mittellos und ambulant",D895&gt;1,D895&lt;=2),211,IF(AND(L890="Mittellos und ambulant",D895&gt;0,D895&lt;=1),258,IF(AND(L890="Mittellos und stationär",D895&gt;8,D895&lt;=1000),78,IF(AND(L890="Mittellos und stationär",D895&gt;4,D895&lt;=8),107,IF(AND(L890="Mittellos und stationär",D895&gt;2,D895&lt;=4),154,IF(AND(L890="Mittellos und stationär",D895&gt;1,D895&lt;=2),158,IF(AND(L890="Mittellos und stationär",D895&gt;0,D895&lt;=1),241,""))))))))))))))))))))),IF(M889="Stufe C",IF(AND(L890="Auswahl treffen",D895&gt;=0,D895&lt;=1000),J889,IF(AND(L890="Vermögend und ambulant",D895&gt;8,D895&lt;=1000),211,IF(AND(L890="Vermögend und ambulant",D895&gt;4,D895&lt;=8),257,IF(AND(L890="Vermögend und ambulant",D895&gt;2,D895&lt;=4),312,IF(AND(L890="Vermögend und ambulant",D895&gt;1,D895&lt;=2),339,IF(AND(L890="Vermögend und ambulant",D895&gt;0,D895&lt;=1),486,IF(AND(L890="Vermögend und stationär",D895&gt;8,D895&lt;=1000),127,IF(AND(L890="Vermögend und stationär",D895&gt;4,D895&lt;=8),149,IF(AND(L890="Vermögend und stationär",D895&gt;2,D895&lt;=4),229,IF(AND(L890="Vermögend und stationär",D895&gt;1,D895&lt;=2),257,IF(AND(L890="Vermögend und stationär",D895&gt;0,D895&lt;=1),327,IF(AND(L890="Mittellos und ambulant",D895&gt;8,D895&lt;=1000),171,IF(AND(L890="Mittellos und ambulant",D895&gt;4,D895&lt;=8),198,IF(AND(L890="Mittellos und ambulant",D895&gt;2,D895&lt;=4),246,IF(AND(L890="Mittellos und ambulant",D895&gt;1,D895&lt;=2),277,IF(AND(L890="Mittellos und ambulant",D895&gt;0,D895&lt;=1),339,IF(AND(L890="Mittellos und stationär",D895&gt;8,D895&lt;=1000),102,IF(AND(L890="Mittellos und stationär",D895&gt;4,D895&lt;=8),141,IF(AND(L890="Mittellos und stationär",D895&gt;2,D895&lt;=4),202,IF(AND(L890="Mittellos und stationär",D895&gt;1,D895&lt;=2),208,IF(AND(L890="Mittellos und stationär",D895&gt;0,D895&lt;=1),317,""))))))))))))))))))))),"")))*3+(J889*90)</f>
        <v>#NUM!</v>
      </c>
      <c r="M896" s="507" t="str">
        <f>CONCATENATE(K896, K895)</f>
        <v>+Inflat.-P</v>
      </c>
      <c r="N896" s="206"/>
      <c r="O896" s="207"/>
      <c r="P896" s="206" t="s">
        <v>118</v>
      </c>
      <c r="Q896" s="226"/>
      <c r="R896" s="189"/>
      <c r="S896" s="203"/>
      <c r="T896" s="203"/>
      <c r="U896" s="204"/>
      <c r="V896" s="192"/>
      <c r="W896" s="203"/>
      <c r="X896" s="203"/>
      <c r="Y896" s="204"/>
      <c r="Z896" s="192"/>
      <c r="AA896" s="209" t="s">
        <v>118</v>
      </c>
      <c r="AB896" s="209" t="s">
        <v>117</v>
      </c>
      <c r="AC896" s="204" t="s">
        <v>26</v>
      </c>
      <c r="AD896" s="192"/>
      <c r="AE896" s="203"/>
      <c r="AF896" s="203"/>
      <c r="AG896" s="204"/>
      <c r="AH896" s="193"/>
      <c r="AI896" s="203"/>
      <c r="AJ896" s="203"/>
      <c r="AK896" s="375"/>
      <c r="AL896" s="348" t="s">
        <v>150</v>
      </c>
      <c r="AM896" s="354"/>
      <c r="AN896" s="354"/>
      <c r="AO896" s="354">
        <f>IF(SUM(P890:P898)=SUM(AA890:AA898), 0, SUM(P890:P898)-SUM(AA890:AA898))</f>
        <v>0</v>
      </c>
      <c r="AP896" s="354"/>
      <c r="AQ896" s="350">
        <f>AM896+AN896+AO896+AP896</f>
        <v>0</v>
      </c>
      <c r="AR896" s="769"/>
      <c r="AS896" s="769"/>
      <c r="AT896" s="769"/>
      <c r="BM896" s="335"/>
    </row>
    <row r="897" spans="1:65" ht="22.25" customHeight="1">
      <c r="A897" s="181">
        <f t="shared" si="290"/>
        <v>45292</v>
      </c>
      <c r="B897" s="486"/>
      <c r="C897" s="489" t="s">
        <v>158</v>
      </c>
      <c r="D897" s="522" t="e">
        <f>D895+1</f>
        <v>#NUM!</v>
      </c>
      <c r="E897" s="211" t="e">
        <f>DATE(YEAR(E896),MONTH(E896),DAY(E896)+1)</f>
        <v>#NUM!</v>
      </c>
      <c r="F897" s="227" t="e">
        <f t="shared" si="307"/>
        <v>#NUM!</v>
      </c>
      <c r="G897" s="228" t="e">
        <f t="shared" si="308"/>
        <v>#NUM!</v>
      </c>
      <c r="H897" s="227" t="e">
        <f t="shared" si="309"/>
        <v>#NUM!</v>
      </c>
      <c r="I897" s="231">
        <f>IF(J896&lt;13,J896,"")</f>
        <v>3</v>
      </c>
      <c r="J897" s="230">
        <f>J898+3</f>
        <v>9</v>
      </c>
      <c r="K897" s="506" t="str">
        <f t="shared" si="294"/>
        <v/>
      </c>
      <c r="L897" s="471"/>
      <c r="M897" s="473" t="e">
        <f ca="1">SUM(J890-E898)&amp;" Tage"</f>
        <v>#NUM!</v>
      </c>
      <c r="N897" s="216"/>
      <c r="O897" s="188"/>
      <c r="P897" s="188"/>
      <c r="Q897" s="217"/>
      <c r="R897" s="189"/>
      <c r="S897" s="190"/>
      <c r="T897" s="190"/>
      <c r="U897" s="191"/>
      <c r="V897" s="192"/>
      <c r="W897" s="190"/>
      <c r="X897" s="190"/>
      <c r="Y897" s="191"/>
      <c r="Z897" s="192"/>
      <c r="AA897" s="190"/>
      <c r="AB897" s="190"/>
      <c r="AC897" s="191"/>
      <c r="AD897" s="192"/>
      <c r="AE897" s="190"/>
      <c r="AF897" s="190"/>
      <c r="AG897" s="191"/>
      <c r="AH897" s="193"/>
      <c r="AI897" s="190"/>
      <c r="AJ897" s="190"/>
      <c r="AK897" s="374"/>
      <c r="AL897" s="348"/>
      <c r="AM897" s="354"/>
      <c r="AN897" s="354"/>
      <c r="AO897" s="354"/>
      <c r="AP897" s="354"/>
      <c r="AQ897" s="350"/>
      <c r="AR897" s="769"/>
      <c r="AS897" s="769"/>
      <c r="AT897" s="769"/>
      <c r="BM897" s="335"/>
    </row>
    <row r="898" spans="1:65" ht="22.25" customHeight="1">
      <c r="A898" s="181">
        <f t="shared" si="290"/>
        <v>45292</v>
      </c>
      <c r="B898" s="485"/>
      <c r="C898" s="490"/>
      <c r="D898" s="521"/>
      <c r="E898" s="218" t="e">
        <f>DATE(YEAR(E897),MONTH(E897)+3,DAY(E897)-1)</f>
        <v>#NUM!</v>
      </c>
      <c r="F898" s="227" t="e">
        <f t="shared" si="307"/>
        <v>#NUM!</v>
      </c>
      <c r="G898" s="228" t="e">
        <f t="shared" si="308"/>
        <v>#NUM!</v>
      </c>
      <c r="H898" s="227" t="e">
        <f t="shared" si="309"/>
        <v>#NUM!</v>
      </c>
      <c r="I898" s="231">
        <f>IF(J895&lt;13,J895,"")</f>
        <v>0</v>
      </c>
      <c r="J898" s="230">
        <f>J896+3</f>
        <v>6</v>
      </c>
      <c r="K898" s="501" t="str">
        <f t="shared" si="294"/>
        <v>+Inflat.-P</v>
      </c>
      <c r="L898" s="508" t="e">
        <f>IF(M889="Stufe A",IF(AND(L890="Auswahl treffen",D897&gt;=0,D897&lt;=1000),J889,IF(AND(L890="Vermögend und ambulant",D897&gt;8,D897&lt;=1000),130,IF(AND(L890="Vermögend und ambulant",D897&gt;4,D897&lt;=8),158,IF(AND(L890="Vermögend und ambulant",D897&gt;2,D897&lt;=4),192,IF(AND(L890="Vermögend und ambulant",D897&gt;1,D897&lt;=2),208,IF(AND(L890="Vermögend und ambulant",D897&gt;0,D897&lt;=1),298,IF(AND(L890="Vermögend und stationär",D897&gt;8,D897&lt;=1000),78,IF(AND(L890="Vermögend und stationär",D897&gt;4,D897&lt;=8),91,IF(AND(L890="Vermögend und stationär",D897&gt;2,D897&lt;=4),140,IF(AND(L890="Vermögend und stationär",D897&gt;1,D897&lt;=2),158,IF(AND(L890="Vermögend und stationär",D897&gt;0,D897&lt;=1),200,IF(AND(L890="Mittellos und ambulant",D897&gt;8,D897&lt;=1000),105,IF(AND(L890="Mittellos und ambulant",D897&gt;4,D897&lt;=8),122,IF(AND(L890="Mittellos und ambulant",D897&gt;2,D897&lt;=4),151,IF(AND(L890="Mittellos und ambulant",D897&gt;1,D897&lt;=2),170,IF(AND(L890="Mittellos und ambulant",D897&gt;0,D897&lt;=1),208,IF(AND(L890="Mittellos und stationär",D897&gt;8,D897&lt;=1000),62,IF(AND(L890="Mittellos und stationär",D897&gt;4,D897&lt;=8),87,IF(AND(L890="Mittellos und stationär",D897&gt;2,D897&lt;=4),124,IF(AND(L890="Mittellos und stationär",D897&gt;1,D897&lt;=2),129,IF(AND(L890="Mittellos und stationär",D897&gt;0,D897&lt;=1),194,""))))))))))))))))))))),IF(M889="Stufe B",IF(AND(L890="Auswahl treffen",D897&gt;=0,D897&lt;=1000),J889,IF(AND(L890="Vermögend und ambulant",D897&gt;8,D897&lt;=1000),161,IF(AND(L890="Vermögend und ambulant",D897&gt;4,D897&lt;=8),196,IF(AND(L890="Vermögend und ambulant",D897&gt;2,D897&lt;=4),238,IF(AND(L890="Vermögend und ambulant",D897&gt;1,D897&lt;=2),258,IF(AND(L890="Vermögend und ambulant",D897&gt;0,D897&lt;=1),370,IF(AND(L890="Vermögend und stationär",D897&gt;8,D897&lt;=1000),96,IF(AND(L890="Vermögend und stationär",D897&gt;4,D897&lt;=8),113,IF(AND(L890="Vermögend und stationär",D897&gt;2,D897&lt;=4),174,IF(AND(L890="Vermögend und stationär",D897&gt;1,D897&lt;=2),196,IF(AND(L890="Vermögend und stationär",D897&gt;0,D897&lt;=1),249,IF(AND(L890="Mittellos und ambulant",D897&gt;8,D897&lt;=1000),130,IF(AND(L890="Mittellos und ambulant",D897&gt;4,D897&lt;=8),151,IF(AND(L890="Mittellos und ambulant",D897&gt;2,D897&lt;=4),188,IF(AND(L890="Mittellos und ambulant",D897&gt;1,D897&lt;=2),211,IF(AND(L890="Mittellos und ambulant",D897&gt;0,D897&lt;=1),258,IF(AND(L890="Mittellos und stationär",D897&gt;8,D897&lt;=1000),78,IF(AND(L890="Mittellos und stationär",D897&gt;4,D897&lt;=8),107,IF(AND(L890="Mittellos und stationär",D897&gt;2,D897&lt;=4),154,IF(AND(L890="Mittellos und stationär",D897&gt;1,D897&lt;=2),158,IF(AND(L890="Mittellos und stationär",D897&gt;0,D897&lt;=1),241,""))))))))))))))))))))),IF(M889="Stufe C",IF(AND(L890="Auswahl treffen",D897&gt;=0,D897&lt;=1000),J889,IF(AND(L890="Vermögend und ambulant",D897&gt;8,D897&lt;=1000),211,IF(AND(L890="Vermögend und ambulant",D897&gt;4,D897&lt;=8),257,IF(AND(L890="Vermögend und ambulant",D897&gt;2,D897&lt;=4),312,IF(AND(L890="Vermögend und ambulant",D897&gt;1,D897&lt;=2),339,IF(AND(L890="Vermögend und ambulant",D897&gt;0,D897&lt;=1),486,IF(AND(L890="Vermögend und stationär",D897&gt;8,D897&lt;=1000),127,IF(AND(L890="Vermögend und stationär",D897&gt;4,D897&lt;=8),149,IF(AND(L890="Vermögend und stationär",D897&gt;2,D897&lt;=4),229,IF(AND(L890="Vermögend und stationär",D897&gt;1,D897&lt;=2),257,IF(AND(L890="Vermögend und stationär",D897&gt;0,D897&lt;=1),327,IF(AND(L890="Mittellos und ambulant",D897&gt;8,D897&lt;=1000),171,IF(AND(L890="Mittellos und ambulant",D897&gt;4,D897&lt;=8),198,IF(AND(L890="Mittellos und ambulant",D897&gt;2,D897&lt;=4),246,IF(AND(L890="Mittellos und ambulant",D897&gt;1,D897&lt;=2),277,IF(AND(L890="Mittellos und ambulant",D897&gt;0,D897&lt;=1),339,IF(AND(L890="Mittellos und stationär",D897&gt;8,D897&lt;=1000),102,IF(AND(L890="Mittellos und stationär",D897&gt;4,D897&lt;=8),141,IF(AND(L890="Mittellos und stationär",D897&gt;2,D897&lt;=4),202,IF(AND(L890="Mittellos und stationär",D897&gt;1,D897&lt;=2),208,IF(AND(L890="Mittellos und stationär",D897&gt;0,D897&lt;=1),317,""))))))))))))))))))))),"")))*3+(J889*90)</f>
        <v>#NUM!</v>
      </c>
      <c r="M898" s="507" t="str">
        <f>CONCATENATE(K898, K897)</f>
        <v>+Inflat.-P</v>
      </c>
      <c r="N898" s="216"/>
      <c r="O898" s="188"/>
      <c r="P898" s="188"/>
      <c r="Q898" s="217" t="s">
        <v>118</v>
      </c>
      <c r="R898" s="189"/>
      <c r="S898" s="190"/>
      <c r="T898" s="190"/>
      <c r="U898" s="191"/>
      <c r="V898" s="192"/>
      <c r="W898" s="190"/>
      <c r="X898" s="190"/>
      <c r="Y898" s="191"/>
      <c r="Z898" s="192"/>
      <c r="AA898" s="190"/>
      <c r="AB898" s="190"/>
      <c r="AC898" s="191"/>
      <c r="AD898" s="192"/>
      <c r="AE898" s="190" t="s">
        <v>118</v>
      </c>
      <c r="AF898" s="190" t="s">
        <v>117</v>
      </c>
      <c r="AG898" s="191" t="s">
        <v>26</v>
      </c>
      <c r="AH898" s="193"/>
      <c r="AI898" s="190" t="s">
        <v>118</v>
      </c>
      <c r="AJ898" s="190" t="s">
        <v>117</v>
      </c>
      <c r="AK898" s="374" t="s">
        <v>26</v>
      </c>
      <c r="AL898" s="348" t="s">
        <v>151</v>
      </c>
      <c r="AM898" s="354"/>
      <c r="AN898" s="354"/>
      <c r="AO898" s="354"/>
      <c r="AP898" s="354">
        <f>IF(SUM(Q890:Q898)=SUM(AE890:AE898,AI890:AI898), 0, SUM(Q890:Q898)-SUM(AE890:AE898,AI890:AI898))</f>
        <v>0</v>
      </c>
      <c r="AQ898" s="350">
        <f>AM898+AN898+AO898+AP898</f>
        <v>0</v>
      </c>
      <c r="AR898" s="769"/>
      <c r="AS898" s="769"/>
      <c r="AT898" s="769"/>
      <c r="BM898" s="335"/>
    </row>
    <row r="899" spans="1:65" ht="22" customHeight="1">
      <c r="A899" s="181">
        <f t="shared" si="290"/>
        <v>45292</v>
      </c>
      <c r="B899" s="232" t="s">
        <v>74</v>
      </c>
      <c r="C899" s="233" t="s">
        <v>75</v>
      </c>
      <c r="D899" s="234" t="s">
        <v>76</v>
      </c>
      <c r="E899" s="235" t="s">
        <v>11</v>
      </c>
      <c r="F899" s="235" t="s">
        <v>4</v>
      </c>
      <c r="G899" s="235" t="s">
        <v>5</v>
      </c>
      <c r="H899" s="235" t="s">
        <v>6</v>
      </c>
      <c r="I899" s="236" t="s">
        <v>77</v>
      </c>
      <c r="J899" s="306"/>
      <c r="K899" s="506" t="str">
        <f t="shared" si="294"/>
        <v/>
      </c>
      <c r="L899" s="306" t="str">
        <f>IFERROR(VLOOKUP(B900,'Aktuelle Einnahmen'!A2:J104,10,0),"")</f>
        <v/>
      </c>
      <c r="M899" s="510" t="str">
        <f>M889</f>
        <v>Stufe C</v>
      </c>
      <c r="N899" s="237"/>
      <c r="O899" s="238"/>
      <c r="P899" s="238"/>
      <c r="Q899" s="239"/>
      <c r="R899" s="240"/>
      <c r="S899" s="241"/>
      <c r="T899" s="241"/>
      <c r="U899" s="242"/>
      <c r="V899" s="243"/>
      <c r="W899" s="241"/>
      <c r="X899" s="241"/>
      <c r="Y899" s="242"/>
      <c r="Z899" s="243"/>
      <c r="AA899" s="241"/>
      <c r="AB899" s="241"/>
      <c r="AC899" s="242"/>
      <c r="AD899" s="243"/>
      <c r="AE899" s="241"/>
      <c r="AF899" s="241"/>
      <c r="AG899" s="242"/>
      <c r="AH899" s="240"/>
      <c r="AI899" s="241"/>
      <c r="AJ899" s="241"/>
      <c r="AK899" s="377"/>
      <c r="AL899" s="347"/>
      <c r="AM899" s="353"/>
      <c r="AN899" s="353"/>
      <c r="AO899" s="353"/>
      <c r="AP899" s="353"/>
      <c r="AQ899" s="349"/>
      <c r="AR899" s="768"/>
      <c r="AS899" s="768"/>
      <c r="AT899" s="768"/>
      <c r="BM899" s="335"/>
    </row>
    <row r="900" spans="1:65" ht="23" customHeight="1">
      <c r="A900" s="181">
        <f t="shared" si="290"/>
        <v>45292</v>
      </c>
      <c r="B900" s="182">
        <v>90</v>
      </c>
      <c r="C900" s="245">
        <f>IFERROR(VLOOKUP($B900,'Aktuelle Einnahmen'!A2:G104,3,0),"")</f>
        <v>0</v>
      </c>
      <c r="D900" s="246">
        <f>IFERROR(VLOOKUP($B900,'Aktuelle Einnahmen'!A2:G104,2,0),"")</f>
        <v>0</v>
      </c>
      <c r="E900" s="247">
        <f>IFERROR(VLOOKUP($B900,'Aktuelle Einnahmen'!A2:G104,4,0),"")</f>
        <v>0</v>
      </c>
      <c r="F900" s="94">
        <f>IFERROR(VLOOKUP($B900,'Aktuelle Einnahmen'!A2:G104,5,0),"")</f>
        <v>0</v>
      </c>
      <c r="G900" s="94">
        <f>IFERROR(VLOOKUP($B900,'Aktuelle Einnahmen'!A2:G104,6,0),"")</f>
        <v>0</v>
      </c>
      <c r="H900" s="94">
        <f>IFERROR(VLOOKUP($B900,'Aktuelle Einnahmen'!A2:G104,7,0),"")</f>
        <v>0</v>
      </c>
      <c r="I900" s="186" t="e">
        <f>DATE(H900,G900,F900)</f>
        <v>#NUM!</v>
      </c>
      <c r="J900" s="472">
        <f ca="1">J890</f>
        <v>45475</v>
      </c>
      <c r="K900" s="501" t="str">
        <f t="shared" si="294"/>
        <v>+Inflat.-P</v>
      </c>
      <c r="L900" s="1262" t="str">
        <f>IFERROR(VLOOKUP(B900,'Aktuelle Einnahmen'!A22:I124,9,0),"")</f>
        <v>Auswahl treffen</v>
      </c>
      <c r="M900" s="1263"/>
      <c r="N900" s="261"/>
      <c r="O900" s="261"/>
      <c r="P900" s="261"/>
      <c r="Q900" s="261"/>
      <c r="R900" s="189"/>
      <c r="S900" s="190"/>
      <c r="T900" s="190"/>
      <c r="U900" s="191"/>
      <c r="V900" s="192"/>
      <c r="W900" s="190"/>
      <c r="X900" s="190"/>
      <c r="Y900" s="191"/>
      <c r="Z900" s="192"/>
      <c r="AA900" s="190"/>
      <c r="AB900" s="190"/>
      <c r="AC900" s="191"/>
      <c r="AD900" s="192"/>
      <c r="AE900" s="190"/>
      <c r="AF900" s="190"/>
      <c r="AG900" s="191"/>
      <c r="AH900" s="193"/>
      <c r="AI900" s="190"/>
      <c r="AJ900" s="190"/>
      <c r="AK900" s="374"/>
      <c r="AL900" s="348"/>
      <c r="AM900" s="354"/>
      <c r="AN900" s="354"/>
      <c r="AO900" s="354"/>
      <c r="AP900" s="354"/>
      <c r="AQ900" s="350"/>
      <c r="AR900" s="769"/>
      <c r="AS900" s="769"/>
      <c r="AT900" s="769"/>
      <c r="BM900" s="335"/>
    </row>
    <row r="901" spans="1:65" ht="22.25" customHeight="1">
      <c r="A901" s="181">
        <f t="shared" si="290"/>
        <v>45292</v>
      </c>
      <c r="B901" s="484" t="e">
        <f>DAY(I900)</f>
        <v>#NUM!</v>
      </c>
      <c r="C901" s="489" t="s">
        <v>158</v>
      </c>
      <c r="D901" s="520" t="e">
        <f>(I901*4)+J901/3+1</f>
        <v>#NUM!</v>
      </c>
      <c r="E901" s="194" t="e">
        <f>J903+1</f>
        <v>#NUM!</v>
      </c>
      <c r="F901" s="195" t="e">
        <f t="shared" ref="F901:F908" si="310">DAY(E901)</f>
        <v>#NUM!</v>
      </c>
      <c r="G901" s="196" t="e">
        <f t="shared" ref="G901:G908" si="311">MONTH(E901)</f>
        <v>#NUM!</v>
      </c>
      <c r="H901" s="195" t="e">
        <f t="shared" ref="H901:H908" si="312">YEAR(E901)</f>
        <v>#NUM!</v>
      </c>
      <c r="I901" s="197" t="e">
        <f>H901-(H900+2000)</f>
        <v>#NUM!</v>
      </c>
      <c r="J901" s="198" t="e">
        <f>G901-G900</f>
        <v>#NUM!</v>
      </c>
      <c r="K901" s="506" t="str">
        <f>L899</f>
        <v/>
      </c>
      <c r="L901" s="469"/>
      <c r="M901" s="473" t="e">
        <f ca="1">SUM(J900-E902)&amp;" Tage"</f>
        <v>#NUM!</v>
      </c>
      <c r="N901" s="206"/>
      <c r="O901" s="201"/>
      <c r="P901" s="201"/>
      <c r="Q901" s="202"/>
      <c r="R901" s="189"/>
      <c r="S901" s="203"/>
      <c r="T901" s="203"/>
      <c r="U901" s="204"/>
      <c r="V901" s="192"/>
      <c r="W901" s="203"/>
      <c r="X901" s="203"/>
      <c r="Y901" s="204"/>
      <c r="Z901" s="192"/>
      <c r="AA901" s="203"/>
      <c r="AB901" s="203"/>
      <c r="AC901" s="204"/>
      <c r="AD901" s="192"/>
      <c r="AE901" s="203"/>
      <c r="AF901" s="203"/>
      <c r="AG901" s="204"/>
      <c r="AH901" s="193"/>
      <c r="AI901" s="203"/>
      <c r="AJ901" s="203"/>
      <c r="AK901" s="375"/>
      <c r="AL901" s="348"/>
      <c r="AM901" s="354"/>
      <c r="AN901" s="354"/>
      <c r="AO901" s="354"/>
      <c r="AP901" s="354"/>
      <c r="AQ901" s="350"/>
      <c r="AR901" s="769"/>
      <c r="AS901" s="769"/>
      <c r="AT901" s="769"/>
      <c r="BM901" s="335"/>
    </row>
    <row r="902" spans="1:65" ht="22.25" customHeight="1">
      <c r="A902" s="181">
        <f t="shared" si="290"/>
        <v>45292</v>
      </c>
      <c r="B902" s="485"/>
      <c r="C902" s="490"/>
      <c r="D902" s="521"/>
      <c r="E902" s="194" t="e">
        <f>DATE(YEAR(E901),MONTH(E901)+3,DAY(E901)-1)</f>
        <v>#NUM!</v>
      </c>
      <c r="F902" s="195" t="e">
        <f t="shared" si="310"/>
        <v>#NUM!</v>
      </c>
      <c r="G902" s="196" t="e">
        <f t="shared" si="311"/>
        <v>#NUM!</v>
      </c>
      <c r="H902" s="195" t="e">
        <f t="shared" si="312"/>
        <v>#NUM!</v>
      </c>
      <c r="I902" s="244">
        <v>-1</v>
      </c>
      <c r="J902" s="198" t="e">
        <f>F901-F900</f>
        <v>#NUM!</v>
      </c>
      <c r="K902" s="506" t="str">
        <f t="shared" si="294"/>
        <v>+Inflat.-P</v>
      </c>
      <c r="L902" s="511" t="e">
        <f>IF(M899="Stufe A",IF(AND(L900="Auswahl treffen",D901&gt;=0,D901&lt;=1000),J899,IF(AND(L900="Vermögend und ambulant",D901&gt;8,D901&lt;=1000),130,IF(AND(L900="Vermögend und ambulant",D901&gt;4,D901&lt;=8),158,IF(AND(L900="Vermögend und ambulant",D901&gt;2,D901&lt;=4),192,IF(AND(L900="Vermögend und ambulant",D901&gt;1,D901&lt;=2),208,IF(AND(L900="Vermögend und ambulant",D901&gt;0,D901&lt;=1),298,IF(AND(L900="Vermögend und stationär",D901&gt;8,D901&lt;=1000),78,IF(AND(L900="Vermögend und stationär",D901&gt;4,D901&lt;=8),91,IF(AND(L900="Vermögend und stationär",D901&gt;2,D901&lt;=4),140,IF(AND(L900="Vermögend und stationär",D901&gt;1,D901&lt;=2),158,IF(AND(L900="Vermögend und stationär",D901&gt;0,D901&lt;=1),200,IF(AND(L900="Mittellos und ambulant",D901&gt;8,D901&lt;=1000),105,IF(AND(L900="Mittellos und ambulant",D901&gt;4,D901&lt;=8),122,IF(AND(L900="Mittellos und ambulant",D901&gt;2,D901&lt;=4),151,IF(AND(L900="Mittellos und ambulant",D901&gt;1,D901&lt;=2),170,IF(AND(L900="Mittellos und ambulant",D901&gt;0,D901&lt;=1),208,IF(AND(L900="Mittellos und stationär",D901&gt;8,D901&lt;=1000),62,IF(AND(L900="Mittellos und stationär",D901&gt;4,D901&lt;=8),87,IF(AND(L900="Mittellos und stationär",D901&gt;2,D901&lt;=4),124,IF(AND(L900="Mittellos und stationär",D901&gt;1,D901&lt;=2),129,IF(AND(L900="Mittellos und stationär",D901&gt;0,D901&lt;=1),194,""))))))))))))))))))))),IF(M899="Stufe B",IF(AND(L900="Auswahl treffen",D901&gt;=0,D901&lt;=1000),J899,IF(AND(L900="Vermögend und ambulant",D901&gt;8,D901&lt;=1000),161,IF(AND(L900="Vermögend und ambulant",D901&gt;4,D901&lt;=8),196,IF(AND(L900="Vermögend und ambulant",D901&gt;2,D901&lt;=4),238,IF(AND(L900="Vermögend und ambulant",D901&gt;1,D901&lt;=2),258,IF(AND(L900="Vermögend und ambulant",D901&gt;0,D901&lt;=1),370,IF(AND(L900="Vermögend und stationär",D901&gt;8,D901&lt;=1000),96,IF(AND(L900="Vermögend und stationär",D901&gt;4,D901&lt;=8),113,IF(AND(L900="Vermögend und stationär",D901&gt;2,D901&lt;=4),174,IF(AND(L900="Vermögend und stationär",D901&gt;1,D901&lt;=2),196,IF(AND(L900="Vermögend und stationär",D901&gt;0,D901&lt;=1),249,IF(AND(L900="Mittellos und ambulant",D901&gt;8,D901&lt;=1000),130,IF(AND(L900="Mittellos und ambulant",D901&gt;4,D901&lt;=8),151,IF(AND(L900="Mittellos und ambulant",D901&gt;2,D901&lt;=4),188,IF(AND(L900="Mittellos und ambulant",D901&gt;1,D901&lt;=2),211,IF(AND(L900="Mittellos und ambulant",D901&gt;0,D901&lt;=1),258,IF(AND(L900="Mittellos und stationär",D901&gt;8,D901&lt;=1000),78,IF(AND(L900="Mittellos und stationär",D901&gt;4,D901&lt;=8),107,IF(AND(L900="Mittellos und stationär",D901&gt;2,D901&lt;=4),154,IF(AND(L900="Mittellos und stationär",D901&gt;1,D901&lt;=2),158,IF(AND(L900="Mittellos und stationär",D901&gt;0,D901&lt;=1),241,""))))))))))))))))))))),IF(M899="Stufe C",IF(AND(L900="Auswahl treffen",D901&gt;=0,D901&lt;=1000),J899,IF(AND(L900="Vermögend und ambulant",D901&gt;8,D901&lt;=1000),211,IF(AND(L900="Vermögend und ambulant",D901&gt;4,D901&lt;=8),257,IF(AND(L900="Vermögend und ambulant",D901&gt;2,D901&lt;=4),312,IF(AND(L900="Vermögend und ambulant",D901&gt;1,D901&lt;=2),339,IF(AND(L900="Vermögend und ambulant",D901&gt;0,D901&lt;=1),486,IF(AND(L900="Vermögend und stationär",D901&gt;8,D901&lt;=1000),127,IF(AND(L900="Vermögend und stationär",D901&gt;4,D901&lt;=8),149,IF(AND(L900="Vermögend und stationär",D901&gt;2,D901&lt;=4),229,IF(AND(L900="Vermögend und stationär",D901&gt;1,D901&lt;=2),257,IF(AND(L900="Vermögend und stationär",D901&gt;0,D901&lt;=1),327,IF(AND(L900="Mittellos und ambulant",D901&gt;8,D901&lt;=1000),171,IF(AND(L900="Mittellos und ambulant",D901&gt;4,D901&lt;=8),198,IF(AND(L900="Mittellos und ambulant",D901&gt;2,D901&lt;=4),246,IF(AND(L900="Mittellos und ambulant",D901&gt;1,D901&lt;=2),277,IF(AND(L900="Mittellos und ambulant",D901&gt;0,D901&lt;=1),339,IF(AND(L900="Mittellos und stationär",D901&gt;8,D901&lt;=1000),102,IF(AND(L900="Mittellos und stationär",D901&gt;4,D901&lt;=8),141,IF(AND(L900="Mittellos und stationär",D901&gt;2,D901&lt;=4),202,IF(AND(L900="Mittellos und stationär",D901&gt;1,D901&lt;=2),208,IF(AND(L900="Mittellos und stationär",D901&gt;0,D901&lt;=1),317,""))))))))))))))))))))),"")))*3+(J899*90)</f>
        <v>#NUM!</v>
      </c>
      <c r="M902" s="507" t="str">
        <f>CONCATENATE(K902, K901)</f>
        <v>+Inflat.-P</v>
      </c>
      <c r="N902" s="206" t="s">
        <v>118</v>
      </c>
      <c r="O902" s="207"/>
      <c r="P902" s="207"/>
      <c r="Q902" s="208"/>
      <c r="R902" s="187"/>
      <c r="S902" s="209" t="s">
        <v>118</v>
      </c>
      <c r="T902" s="201" t="s">
        <v>117</v>
      </c>
      <c r="U902" s="210" t="s">
        <v>26</v>
      </c>
      <c r="V902" s="192"/>
      <c r="W902" s="203"/>
      <c r="X902" s="203"/>
      <c r="Y902" s="210"/>
      <c r="Z902" s="192"/>
      <c r="AA902" s="203"/>
      <c r="AB902" s="203"/>
      <c r="AC902" s="210"/>
      <c r="AD902" s="192"/>
      <c r="AE902" s="203"/>
      <c r="AF902" s="203"/>
      <c r="AG902" s="210"/>
      <c r="AH902" s="193"/>
      <c r="AI902" s="203"/>
      <c r="AJ902" s="203"/>
      <c r="AK902" s="376"/>
      <c r="AL902" s="348" t="s">
        <v>148</v>
      </c>
      <c r="AM902" s="354">
        <f>IF(SUM(N900:N908)=SUM(S900:S908), 0, SUM(N900:N908)-SUM(S900:S908))</f>
        <v>0</v>
      </c>
      <c r="AN902" s="354"/>
      <c r="AO902" s="354"/>
      <c r="AP902" s="354"/>
      <c r="AQ902" s="350">
        <f>AM902+AN902+AO902+AP902</f>
        <v>0</v>
      </c>
      <c r="AR902" s="769"/>
      <c r="AS902" s="769"/>
      <c r="AT902" s="769"/>
      <c r="BM902" s="335"/>
    </row>
    <row r="903" spans="1:65" ht="22.25" customHeight="1">
      <c r="A903" s="181">
        <f t="shared" si="290"/>
        <v>45292</v>
      </c>
      <c r="B903" s="484" t="e">
        <f>MONTH(I900)</f>
        <v>#NUM!</v>
      </c>
      <c r="C903" s="489" t="s">
        <v>158</v>
      </c>
      <c r="D903" s="522" t="e">
        <f>D901+1</f>
        <v>#NUM!</v>
      </c>
      <c r="E903" s="211" t="e">
        <f>DATE(YEAR(E902),MONTH(E902),DAY(E902)+1)</f>
        <v>#NUM!</v>
      </c>
      <c r="F903" s="212" t="e">
        <f t="shared" si="310"/>
        <v>#NUM!</v>
      </c>
      <c r="G903" s="213" t="e">
        <f t="shared" si="311"/>
        <v>#NUM!</v>
      </c>
      <c r="H903" s="212" t="e">
        <f t="shared" si="312"/>
        <v>#NUM!</v>
      </c>
      <c r="I903" s="214" t="str">
        <f>IF(D900&lt;&gt;0,"-1T","")</f>
        <v/>
      </c>
      <c r="J903" s="215" t="e">
        <f>DATE($B905,I904,$B901)</f>
        <v>#NUM!</v>
      </c>
      <c r="K903" s="501" t="str">
        <f t="shared" si="294"/>
        <v/>
      </c>
      <c r="L903" s="470"/>
      <c r="M903" s="473" t="e">
        <f ca="1">SUM(J900-E904)&amp;" Tage"</f>
        <v>#NUM!</v>
      </c>
      <c r="N903" s="216"/>
      <c r="O903" s="217"/>
      <c r="P903" s="188"/>
      <c r="Q903" s="217"/>
      <c r="R903" s="189"/>
      <c r="S903" s="190"/>
      <c r="T903" s="190"/>
      <c r="U903" s="191"/>
      <c r="V903" s="192"/>
      <c r="W903" s="190"/>
      <c r="X903" s="190"/>
      <c r="Y903" s="191"/>
      <c r="Z903" s="192"/>
      <c r="AA903" s="190"/>
      <c r="AB903" s="190"/>
      <c r="AC903" s="191"/>
      <c r="AD903" s="192"/>
      <c r="AE903" s="190"/>
      <c r="AF903" s="190"/>
      <c r="AG903" s="191"/>
      <c r="AH903" s="193"/>
      <c r="AI903" s="190"/>
      <c r="AJ903" s="190"/>
      <c r="AK903" s="374"/>
      <c r="AL903" s="348"/>
      <c r="AM903" s="354"/>
      <c r="AN903" s="354"/>
      <c r="AO903" s="354"/>
      <c r="AP903" s="354"/>
      <c r="AQ903" s="350"/>
      <c r="AR903" s="769"/>
      <c r="AS903" s="769"/>
      <c r="AT903" s="769"/>
      <c r="BM903" s="335"/>
    </row>
    <row r="904" spans="1:65" ht="22.25" customHeight="1">
      <c r="A904" s="181">
        <f t="shared" si="290"/>
        <v>45292</v>
      </c>
      <c r="B904" s="485"/>
      <c r="C904" s="490"/>
      <c r="D904" s="521"/>
      <c r="E904" s="218" t="e">
        <f>DATE(YEAR(E903),MONTH(E903)+3,DAY(E903)-1)</f>
        <v>#NUM!</v>
      </c>
      <c r="F904" s="212" t="e">
        <f t="shared" si="310"/>
        <v>#NUM!</v>
      </c>
      <c r="G904" s="213" t="e">
        <f t="shared" si="311"/>
        <v>#NUM!</v>
      </c>
      <c r="H904" s="212" t="e">
        <f t="shared" si="312"/>
        <v>#NUM!</v>
      </c>
      <c r="I904" s="219">
        <f>MAX(I905:I908)</f>
        <v>9</v>
      </c>
      <c r="J904" s="220" t="e">
        <f>DATE(YEAR(J903)+1,MONTH(J903),DAY(J903))</f>
        <v>#NUM!</v>
      </c>
      <c r="K904" s="506" t="str">
        <f t="shared" si="294"/>
        <v>+Inflat.-P</v>
      </c>
      <c r="L904" s="508" t="e">
        <f>IF(M899="Stufe A",IF(AND(L900="Auswahl treffen",D903&gt;=0,D903&lt;=1000),J899,IF(AND(L900="Vermögend und ambulant",D903&gt;8,D903&lt;=1000),130,IF(AND(L900="Vermögend und ambulant",D903&gt;4,D903&lt;=8),158,IF(AND(L900="Vermögend und ambulant",D903&gt;2,D903&lt;=4),192,IF(AND(L900="Vermögend und ambulant",D903&gt;1,D903&lt;=2),208,IF(AND(L900="Vermögend und ambulant",D903&gt;0,D903&lt;=1),298,IF(AND(L900="Vermögend und stationär",D903&gt;8,D903&lt;=1000),78,IF(AND(L900="Vermögend und stationär",D903&gt;4,D903&lt;=8),91,IF(AND(L900="Vermögend und stationär",D903&gt;2,D903&lt;=4),140,IF(AND(L900="Vermögend und stationär",D903&gt;1,D903&lt;=2),158,IF(AND(L900="Vermögend und stationär",D903&gt;0,D903&lt;=1),200,IF(AND(L900="Mittellos und ambulant",D903&gt;8,D903&lt;=1000),105,IF(AND(L900="Mittellos und ambulant",D903&gt;4,D903&lt;=8),122,IF(AND(L900="Mittellos und ambulant",D903&gt;2,D903&lt;=4),151,IF(AND(L900="Mittellos und ambulant",D903&gt;1,D903&lt;=2),170,IF(AND(L900="Mittellos und ambulant",D903&gt;0,D903&lt;=1),208,IF(AND(L900="Mittellos und stationär",D903&gt;8,D903&lt;=1000),62,IF(AND(L900="Mittellos und stationär",D903&gt;4,D903&lt;=8),87,IF(AND(L900="Mittellos und stationär",D903&gt;2,D903&lt;=4),124,IF(AND(L900="Mittellos und stationär",D903&gt;1,D903&lt;=2),129,IF(AND(L900="Mittellos und stationär",D903&gt;0,D903&lt;=1),194,""))))))))))))))))))))),IF(M899="Stufe B",IF(AND(L900="Auswahl treffen",D903&gt;=0,D903&lt;=1000),J899,IF(AND(L900="Vermögend und ambulant",D903&gt;8,D903&lt;=1000),161,IF(AND(L900="Vermögend und ambulant",D903&gt;4,D903&lt;=8),196,IF(AND(L900="Vermögend und ambulant",D903&gt;2,D903&lt;=4),238,IF(AND(L900="Vermögend und ambulant",D903&gt;1,D903&lt;=2),258,IF(AND(L900="Vermögend und ambulant",D903&gt;0,D903&lt;=1),370,IF(AND(L900="Vermögend und stationär",D903&gt;8,D903&lt;=1000),96,IF(AND(L900="Vermögend und stationär",D903&gt;4,D903&lt;=8),113,IF(AND(L900="Vermögend und stationär",D903&gt;2,D903&lt;=4),174,IF(AND(L900="Vermögend und stationär",D903&gt;1,D903&lt;=2),196,IF(AND(L900="Vermögend und stationär",D903&gt;0,D903&lt;=1),249,IF(AND(L900="Mittellos und ambulant",D903&gt;8,D903&lt;=1000),130,IF(AND(L900="Mittellos und ambulant",D903&gt;4,D903&lt;=8),151,IF(AND(L900="Mittellos und ambulant",D903&gt;2,D903&lt;=4),188,IF(AND(L900="Mittellos und ambulant",D903&gt;1,D903&lt;=2),211,IF(AND(L900="Mittellos und ambulant",D903&gt;0,D903&lt;=1),258,IF(AND(L900="Mittellos und stationär",D903&gt;8,D903&lt;=1000),78,IF(AND(L900="Mittellos und stationär",D903&gt;4,D903&lt;=8),107,IF(AND(L900="Mittellos und stationär",D903&gt;2,D903&lt;=4),154,IF(AND(L900="Mittellos und stationär",D903&gt;1,D903&lt;=2),158,IF(AND(L900="Mittellos und stationär",D903&gt;0,D903&lt;=1),241,""))))))))))))))))))))),IF(M899="Stufe C",IF(AND(L900="Auswahl treffen",D903&gt;=0,D903&lt;=1000),J899,IF(AND(L900="Vermögend und ambulant",D903&gt;8,D903&lt;=1000),211,IF(AND(L900="Vermögend und ambulant",D903&gt;4,D903&lt;=8),257,IF(AND(L900="Vermögend und ambulant",D903&gt;2,D903&lt;=4),312,IF(AND(L900="Vermögend und ambulant",D903&gt;1,D903&lt;=2),339,IF(AND(L900="Vermögend und ambulant",D903&gt;0,D903&lt;=1),486,IF(AND(L900="Vermögend und stationär",D903&gt;8,D903&lt;=1000),127,IF(AND(L900="Vermögend und stationär",D903&gt;4,D903&lt;=8),149,IF(AND(L900="Vermögend und stationär",D903&gt;2,D903&lt;=4),229,IF(AND(L900="Vermögend und stationär",D903&gt;1,D903&lt;=2),257,IF(AND(L900="Vermögend und stationär",D903&gt;0,D903&lt;=1),327,IF(AND(L900="Mittellos und ambulant",D903&gt;8,D903&lt;=1000),171,IF(AND(L900="Mittellos und ambulant",D903&gt;4,D903&lt;=8),198,IF(AND(L900="Mittellos und ambulant",D903&gt;2,D903&lt;=4),246,IF(AND(L900="Mittellos und ambulant",D903&gt;1,D903&lt;=2),277,IF(AND(L900="Mittellos und ambulant",D903&gt;0,D903&lt;=1),339,IF(AND(L900="Mittellos und stationär",D903&gt;8,D903&lt;=1000),102,IF(AND(L900="Mittellos und stationär",D903&gt;4,D903&lt;=8),141,IF(AND(L900="Mittellos und stationär",D903&gt;2,D903&lt;=4),202,IF(AND(L900="Mittellos und stationär",D903&gt;1,D903&lt;=2),208,IF(AND(L900="Mittellos und stationär",D903&gt;0,D903&lt;=1),317,""))))))))))))))))))))),"")))*3+(J899*90)</f>
        <v>#NUM!</v>
      </c>
      <c r="M904" s="507" t="str">
        <f>CONCATENATE(K904, K903)</f>
        <v>+Inflat.-P</v>
      </c>
      <c r="N904" s="216"/>
      <c r="O904" s="188" t="s">
        <v>118</v>
      </c>
      <c r="P904" s="188"/>
      <c r="Q904" s="221"/>
      <c r="R904" s="199"/>
      <c r="S904" s="190"/>
      <c r="T904" s="190"/>
      <c r="U904" s="191"/>
      <c r="V904" s="192"/>
      <c r="W904" s="222" t="s">
        <v>118</v>
      </c>
      <c r="X904" s="222" t="s">
        <v>117</v>
      </c>
      <c r="Y904" s="191" t="s">
        <v>26</v>
      </c>
      <c r="Z904" s="192"/>
      <c r="AA904" s="190"/>
      <c r="AB904" s="190"/>
      <c r="AC904" s="191"/>
      <c r="AD904" s="192"/>
      <c r="AE904" s="190"/>
      <c r="AF904" s="190"/>
      <c r="AG904" s="191"/>
      <c r="AH904" s="193"/>
      <c r="AI904" s="190"/>
      <c r="AJ904" s="190"/>
      <c r="AK904" s="374"/>
      <c r="AL904" s="348" t="s">
        <v>149</v>
      </c>
      <c r="AM904" s="354"/>
      <c r="AN904" s="354">
        <f>IF(SUM(O900:O908)=SUM(W900:W908), 0, SUM(O900:O908)-SUM(W900:W908))</f>
        <v>0</v>
      </c>
      <c r="AO904" s="354"/>
      <c r="AP904" s="354"/>
      <c r="AQ904" s="350">
        <f>AM904+AN904+AO904+AP904</f>
        <v>0</v>
      </c>
      <c r="AR904" s="769"/>
      <c r="AS904" s="769"/>
      <c r="AT904" s="769"/>
      <c r="BM904" s="335"/>
    </row>
    <row r="905" spans="1:65" ht="22.25" customHeight="1">
      <c r="A905" s="181">
        <f t="shared" ref="A905:A968" si="313">$A904</f>
        <v>45292</v>
      </c>
      <c r="B905" s="484">
        <f>YEAR($A906)-1</f>
        <v>2023</v>
      </c>
      <c r="C905" s="489" t="s">
        <v>158</v>
      </c>
      <c r="D905" s="520" t="e">
        <f>D903+1</f>
        <v>#NUM!</v>
      </c>
      <c r="E905" s="194" t="e">
        <f>DATE(YEAR(E904),MONTH(E904),DAY(E904)+1)</f>
        <v>#NUM!</v>
      </c>
      <c r="F905" s="195" t="e">
        <f t="shared" si="310"/>
        <v>#NUM!</v>
      </c>
      <c r="G905" s="196" t="e">
        <f t="shared" si="311"/>
        <v>#NUM!</v>
      </c>
      <c r="H905" s="195" t="e">
        <f t="shared" si="312"/>
        <v>#NUM!</v>
      </c>
      <c r="I905" s="197">
        <f>IF(J907&lt;13,J907,"")</f>
        <v>9</v>
      </c>
      <c r="J905" s="224">
        <f>G900</f>
        <v>0</v>
      </c>
      <c r="K905" s="501" t="str">
        <f t="shared" si="294"/>
        <v/>
      </c>
      <c r="L905" s="471"/>
      <c r="M905" s="473" t="e">
        <f ca="1">SUM(J900-E906)&amp;" Tage"</f>
        <v>#NUM!</v>
      </c>
      <c r="N905" s="200"/>
      <c r="O905" s="201"/>
      <c r="P905" s="201"/>
      <c r="Q905" s="202"/>
      <c r="R905" s="189"/>
      <c r="S905" s="203"/>
      <c r="T905" s="203"/>
      <c r="U905" s="204"/>
      <c r="V905" s="192"/>
      <c r="W905" s="203"/>
      <c r="X905" s="203"/>
      <c r="Y905" s="204"/>
      <c r="Z905" s="192"/>
      <c r="AA905" s="203"/>
      <c r="AB905" s="203"/>
      <c r="AC905" s="204"/>
      <c r="AD905" s="192"/>
      <c r="AE905" s="203"/>
      <c r="AF905" s="203"/>
      <c r="AG905" s="204"/>
      <c r="AH905" s="193"/>
      <c r="AI905" s="203"/>
      <c r="AJ905" s="203"/>
      <c r="AK905" s="375"/>
      <c r="AL905" s="348"/>
      <c r="AM905" s="354"/>
      <c r="AN905" s="354"/>
      <c r="AO905" s="354"/>
      <c r="AP905" s="354"/>
      <c r="AQ905" s="350"/>
      <c r="AR905" s="769"/>
      <c r="AS905" s="769"/>
      <c r="AT905" s="769"/>
      <c r="BM905" s="335"/>
    </row>
    <row r="906" spans="1:65" ht="22.25" customHeight="1">
      <c r="A906" s="181">
        <f t="shared" si="313"/>
        <v>45292</v>
      </c>
      <c r="B906" s="485"/>
      <c r="C906" s="490"/>
      <c r="D906" s="521"/>
      <c r="E906" s="194" t="e">
        <f>DATE(YEAR(E905),MONTH(E905)+3,DAY(E905)-1)</f>
        <v>#NUM!</v>
      </c>
      <c r="F906" s="195" t="e">
        <f t="shared" si="310"/>
        <v>#NUM!</v>
      </c>
      <c r="G906" s="196" t="e">
        <f t="shared" si="311"/>
        <v>#NUM!</v>
      </c>
      <c r="H906" s="195" t="e">
        <f t="shared" si="312"/>
        <v>#NUM!</v>
      </c>
      <c r="I906" s="244">
        <f>IF(J908&lt;13,J908,"")</f>
        <v>6</v>
      </c>
      <c r="J906" s="224">
        <f>J905+3</f>
        <v>3</v>
      </c>
      <c r="K906" s="506" t="str">
        <f t="shared" si="294"/>
        <v>+Inflat.-P</v>
      </c>
      <c r="L906" s="511" t="e">
        <f>IF(M899="Stufe A",IF(AND(L900="Auswahl treffen",D905&gt;=0,D905&lt;=1000),J899,IF(AND(L900="Vermögend und ambulant",D905&gt;8,D905&lt;=1000),130,IF(AND(L900="Vermögend und ambulant",D905&gt;4,D905&lt;=8),158,IF(AND(L900="Vermögend und ambulant",D905&gt;2,D905&lt;=4),192,IF(AND(L900="Vermögend und ambulant",D905&gt;1,D905&lt;=2),208,IF(AND(L900="Vermögend und ambulant",D905&gt;0,D905&lt;=1),298,IF(AND(L900="Vermögend und stationär",D905&gt;8,D905&lt;=1000),78,IF(AND(L900="Vermögend und stationär",D905&gt;4,D905&lt;=8),91,IF(AND(L900="Vermögend und stationär",D905&gt;2,D905&lt;=4),140,IF(AND(L900="Vermögend und stationär",D905&gt;1,D905&lt;=2),158,IF(AND(L900="Vermögend und stationär",D905&gt;0,D905&lt;=1),200,IF(AND(L900="Mittellos und ambulant",D905&gt;8,D905&lt;=1000),105,IF(AND(L900="Mittellos und ambulant",D905&gt;4,D905&lt;=8),122,IF(AND(L900="Mittellos und ambulant",D905&gt;2,D905&lt;=4),151,IF(AND(L900="Mittellos und ambulant",D905&gt;1,D905&lt;=2),170,IF(AND(L900="Mittellos und ambulant",D905&gt;0,D905&lt;=1),208,IF(AND(L900="Mittellos und stationär",D905&gt;8,D905&lt;=1000),62,IF(AND(L900="Mittellos und stationär",D905&gt;4,D905&lt;=8),87,IF(AND(L900="Mittellos und stationär",D905&gt;2,D905&lt;=4),124,IF(AND(L900="Mittellos und stationär",D905&gt;1,D905&lt;=2),129,IF(AND(L900="Mittellos und stationär",D905&gt;0,D905&lt;=1),194,""))))))))))))))))))))),IF(M899="Stufe B",IF(AND(L900="Auswahl treffen",D905&gt;=0,D905&lt;=1000),J899,IF(AND(L900="Vermögend und ambulant",D905&gt;8,D905&lt;=1000),161,IF(AND(L900="Vermögend und ambulant",D905&gt;4,D905&lt;=8),196,IF(AND(L900="Vermögend und ambulant",D905&gt;2,D905&lt;=4),238,IF(AND(L900="Vermögend und ambulant",D905&gt;1,D905&lt;=2),258,IF(AND(L900="Vermögend und ambulant",D905&gt;0,D905&lt;=1),370,IF(AND(L900="Vermögend und stationär",D905&gt;8,D905&lt;=1000),96,IF(AND(L900="Vermögend und stationär",D905&gt;4,D905&lt;=8),113,IF(AND(L900="Vermögend und stationär",D905&gt;2,D905&lt;=4),174,IF(AND(L900="Vermögend und stationär",D905&gt;1,D905&lt;=2),196,IF(AND(L900="Vermögend und stationär",D905&gt;0,D905&lt;=1),249,IF(AND(L900="Mittellos und ambulant",D905&gt;8,D905&lt;=1000),130,IF(AND(L900="Mittellos und ambulant",D905&gt;4,D905&lt;=8),151,IF(AND(L900="Mittellos und ambulant",D905&gt;2,D905&lt;=4),188,IF(AND(L900="Mittellos und ambulant",D905&gt;1,D905&lt;=2),211,IF(AND(L900="Mittellos und ambulant",D905&gt;0,D905&lt;=1),258,IF(AND(L900="Mittellos und stationär",D905&gt;8,D905&lt;=1000),78,IF(AND(L900="Mittellos und stationär",D905&gt;4,D905&lt;=8),107,IF(AND(L900="Mittellos und stationär",D905&gt;2,D905&lt;=4),154,IF(AND(L900="Mittellos und stationär",D905&gt;1,D905&lt;=2),158,IF(AND(L900="Mittellos und stationär",D905&gt;0,D905&lt;=1),241,""))))))))))))))))))))),IF(M899="Stufe C",IF(AND(L900="Auswahl treffen",D905&gt;=0,D905&lt;=1000),J899,IF(AND(L900="Vermögend und ambulant",D905&gt;8,D905&lt;=1000),211,IF(AND(L900="Vermögend und ambulant",D905&gt;4,D905&lt;=8),257,IF(AND(L900="Vermögend und ambulant",D905&gt;2,D905&lt;=4),312,IF(AND(L900="Vermögend und ambulant",D905&gt;1,D905&lt;=2),339,IF(AND(L900="Vermögend und ambulant",D905&gt;0,D905&lt;=1),486,IF(AND(L900="Vermögend und stationär",D905&gt;8,D905&lt;=1000),127,IF(AND(L900="Vermögend und stationär",D905&gt;4,D905&lt;=8),149,IF(AND(L900="Vermögend und stationär",D905&gt;2,D905&lt;=4),229,IF(AND(L900="Vermögend und stationär",D905&gt;1,D905&lt;=2),257,IF(AND(L900="Vermögend und stationär",D905&gt;0,D905&lt;=1),327,IF(AND(L900="Mittellos und ambulant",D905&gt;8,D905&lt;=1000),171,IF(AND(L900="Mittellos und ambulant",D905&gt;4,D905&lt;=8),198,IF(AND(L900="Mittellos und ambulant",D905&gt;2,D905&lt;=4),246,IF(AND(L900="Mittellos und ambulant",D905&gt;1,D905&lt;=2),277,IF(AND(L900="Mittellos und ambulant",D905&gt;0,D905&lt;=1),339,IF(AND(L900="Mittellos und stationär",D905&gt;8,D905&lt;=1000),102,IF(AND(L900="Mittellos und stationär",D905&gt;4,D905&lt;=8),141,IF(AND(L900="Mittellos und stationär",D905&gt;2,D905&lt;=4),202,IF(AND(L900="Mittellos und stationär",D905&gt;1,D905&lt;=2),208,IF(AND(L900="Mittellos und stationär",D905&gt;0,D905&lt;=1),317,""))))))))))))))))))))),"")))*3+(J899*90)</f>
        <v>#NUM!</v>
      </c>
      <c r="M906" s="507" t="str">
        <f>CONCATENATE(K906, K905)</f>
        <v>+Inflat.-P</v>
      </c>
      <c r="N906" s="206"/>
      <c r="O906" s="207"/>
      <c r="P906" s="206" t="s">
        <v>118</v>
      </c>
      <c r="Q906" s="226"/>
      <c r="R906" s="189"/>
      <c r="S906" s="203"/>
      <c r="T906" s="203"/>
      <c r="U906" s="204"/>
      <c r="V906" s="192"/>
      <c r="W906" s="203"/>
      <c r="X906" s="203"/>
      <c r="Y906" s="204"/>
      <c r="Z906" s="192"/>
      <c r="AA906" s="209" t="s">
        <v>118</v>
      </c>
      <c r="AB906" s="209" t="s">
        <v>117</v>
      </c>
      <c r="AC906" s="204" t="s">
        <v>26</v>
      </c>
      <c r="AD906" s="192"/>
      <c r="AE906" s="203"/>
      <c r="AF906" s="203"/>
      <c r="AG906" s="204"/>
      <c r="AH906" s="193"/>
      <c r="AI906" s="203"/>
      <c r="AJ906" s="203"/>
      <c r="AK906" s="375"/>
      <c r="AL906" s="348" t="s">
        <v>150</v>
      </c>
      <c r="AM906" s="354"/>
      <c r="AN906" s="354"/>
      <c r="AO906" s="354">
        <f>IF(SUM(P900:P908)=SUM(AA900:AA908), 0, SUM(P900:P908)-SUM(AA900:AA908))</f>
        <v>0</v>
      </c>
      <c r="AP906" s="354"/>
      <c r="AQ906" s="350">
        <f>AM906+AN906+AO906+AP906</f>
        <v>0</v>
      </c>
      <c r="AR906" s="769"/>
      <c r="AS906" s="769"/>
      <c r="AT906" s="769"/>
      <c r="BM906" s="335"/>
    </row>
    <row r="907" spans="1:65" ht="22.25" customHeight="1">
      <c r="A907" s="181">
        <f t="shared" si="313"/>
        <v>45292</v>
      </c>
      <c r="B907" s="486"/>
      <c r="C907" s="489" t="s">
        <v>158</v>
      </c>
      <c r="D907" s="522" t="e">
        <f>D905+1</f>
        <v>#NUM!</v>
      </c>
      <c r="E907" s="211" t="e">
        <f>DATE(YEAR(E906),MONTH(E906),DAY(E906)+1)</f>
        <v>#NUM!</v>
      </c>
      <c r="F907" s="227" t="e">
        <f t="shared" si="310"/>
        <v>#NUM!</v>
      </c>
      <c r="G907" s="228" t="e">
        <f t="shared" si="311"/>
        <v>#NUM!</v>
      </c>
      <c r="H907" s="227" t="e">
        <f t="shared" si="312"/>
        <v>#NUM!</v>
      </c>
      <c r="I907" s="231">
        <f>IF(J906&lt;13,J906,"")</f>
        <v>3</v>
      </c>
      <c r="J907" s="230">
        <f>J908+3</f>
        <v>9</v>
      </c>
      <c r="K907" s="501" t="str">
        <f t="shared" si="294"/>
        <v/>
      </c>
      <c r="L907" s="471"/>
      <c r="M907" s="473" t="e">
        <f ca="1">SUM(J900-E908)&amp;" Tage"</f>
        <v>#NUM!</v>
      </c>
      <c r="N907" s="216"/>
      <c r="O907" s="188"/>
      <c r="P907" s="188"/>
      <c r="Q907" s="217"/>
      <c r="R907" s="189"/>
      <c r="S907" s="190"/>
      <c r="T907" s="190"/>
      <c r="U907" s="191"/>
      <c r="V907" s="192"/>
      <c r="W907" s="190"/>
      <c r="X907" s="190"/>
      <c r="Y907" s="191"/>
      <c r="Z907" s="192"/>
      <c r="AA907" s="190"/>
      <c r="AB907" s="190"/>
      <c r="AC907" s="191"/>
      <c r="AD907" s="192"/>
      <c r="AE907" s="190"/>
      <c r="AF907" s="190"/>
      <c r="AG907" s="191"/>
      <c r="AH907" s="193"/>
      <c r="AI907" s="190"/>
      <c r="AJ907" s="190"/>
      <c r="AK907" s="374"/>
      <c r="AL907" s="348"/>
      <c r="AM907" s="354"/>
      <c r="AN907" s="354"/>
      <c r="AO907" s="354"/>
      <c r="AP907" s="354"/>
      <c r="AQ907" s="350"/>
      <c r="AR907" s="769"/>
      <c r="AS907" s="769"/>
      <c r="AT907" s="769"/>
      <c r="BM907" s="335"/>
    </row>
    <row r="908" spans="1:65" ht="22.25" customHeight="1">
      <c r="A908" s="181">
        <f t="shared" si="313"/>
        <v>45292</v>
      </c>
      <c r="B908" s="485"/>
      <c r="C908" s="490"/>
      <c r="D908" s="521"/>
      <c r="E908" s="218" t="e">
        <f>DATE(YEAR(E907),MONTH(E907)+3,DAY(E907)-1)</f>
        <v>#NUM!</v>
      </c>
      <c r="F908" s="227" t="e">
        <f t="shared" si="310"/>
        <v>#NUM!</v>
      </c>
      <c r="G908" s="228" t="e">
        <f t="shared" si="311"/>
        <v>#NUM!</v>
      </c>
      <c r="H908" s="227" t="e">
        <f t="shared" si="312"/>
        <v>#NUM!</v>
      </c>
      <c r="I908" s="231">
        <f>IF(J905&lt;13,J905,"")</f>
        <v>0</v>
      </c>
      <c r="J908" s="230">
        <f>J906+3</f>
        <v>6</v>
      </c>
      <c r="K908" s="501" t="str">
        <f t="shared" si="294"/>
        <v>+Inflat.-P</v>
      </c>
      <c r="L908" s="508" t="e">
        <f>IF(M899="Stufe A",IF(AND(L900="Auswahl treffen",D907&gt;=0,D907&lt;=1000),J899,IF(AND(L900="Vermögend und ambulant",D907&gt;8,D907&lt;=1000),130,IF(AND(L900="Vermögend und ambulant",D907&gt;4,D907&lt;=8),158,IF(AND(L900="Vermögend und ambulant",D907&gt;2,D907&lt;=4),192,IF(AND(L900="Vermögend und ambulant",D907&gt;1,D907&lt;=2),208,IF(AND(L900="Vermögend und ambulant",D907&gt;0,D907&lt;=1),298,IF(AND(L900="Vermögend und stationär",D907&gt;8,D907&lt;=1000),78,IF(AND(L900="Vermögend und stationär",D907&gt;4,D907&lt;=8),91,IF(AND(L900="Vermögend und stationär",D907&gt;2,D907&lt;=4),140,IF(AND(L900="Vermögend und stationär",D907&gt;1,D907&lt;=2),158,IF(AND(L900="Vermögend und stationär",D907&gt;0,D907&lt;=1),200,IF(AND(L900="Mittellos und ambulant",D907&gt;8,D907&lt;=1000),105,IF(AND(L900="Mittellos und ambulant",D907&gt;4,D907&lt;=8),122,IF(AND(L900="Mittellos und ambulant",D907&gt;2,D907&lt;=4),151,IF(AND(L900="Mittellos und ambulant",D907&gt;1,D907&lt;=2),170,IF(AND(L900="Mittellos und ambulant",D907&gt;0,D907&lt;=1),208,IF(AND(L900="Mittellos und stationär",D907&gt;8,D907&lt;=1000),62,IF(AND(L900="Mittellos und stationär",D907&gt;4,D907&lt;=8),87,IF(AND(L900="Mittellos und stationär",D907&gt;2,D907&lt;=4),124,IF(AND(L900="Mittellos und stationär",D907&gt;1,D907&lt;=2),129,IF(AND(L900="Mittellos und stationär",D907&gt;0,D907&lt;=1),194,""))))))))))))))))))))),IF(M899="Stufe B",IF(AND(L900="Auswahl treffen",D907&gt;=0,D907&lt;=1000),J899,IF(AND(L900="Vermögend und ambulant",D907&gt;8,D907&lt;=1000),161,IF(AND(L900="Vermögend und ambulant",D907&gt;4,D907&lt;=8),196,IF(AND(L900="Vermögend und ambulant",D907&gt;2,D907&lt;=4),238,IF(AND(L900="Vermögend und ambulant",D907&gt;1,D907&lt;=2),258,IF(AND(L900="Vermögend und ambulant",D907&gt;0,D907&lt;=1),370,IF(AND(L900="Vermögend und stationär",D907&gt;8,D907&lt;=1000),96,IF(AND(L900="Vermögend und stationär",D907&gt;4,D907&lt;=8),113,IF(AND(L900="Vermögend und stationär",D907&gt;2,D907&lt;=4),174,IF(AND(L900="Vermögend und stationär",D907&gt;1,D907&lt;=2),196,IF(AND(L900="Vermögend und stationär",D907&gt;0,D907&lt;=1),249,IF(AND(L900="Mittellos und ambulant",D907&gt;8,D907&lt;=1000),130,IF(AND(L900="Mittellos und ambulant",D907&gt;4,D907&lt;=8),151,IF(AND(L900="Mittellos und ambulant",D907&gt;2,D907&lt;=4),188,IF(AND(L900="Mittellos und ambulant",D907&gt;1,D907&lt;=2),211,IF(AND(L900="Mittellos und ambulant",D907&gt;0,D907&lt;=1),258,IF(AND(L900="Mittellos und stationär",D907&gt;8,D907&lt;=1000),78,IF(AND(L900="Mittellos und stationär",D907&gt;4,D907&lt;=8),107,IF(AND(L900="Mittellos und stationär",D907&gt;2,D907&lt;=4),154,IF(AND(L900="Mittellos und stationär",D907&gt;1,D907&lt;=2),158,IF(AND(L900="Mittellos und stationär",D907&gt;0,D907&lt;=1),241,""))))))))))))))))))))),IF(M899="Stufe C",IF(AND(L900="Auswahl treffen",D907&gt;=0,D907&lt;=1000),J899,IF(AND(L900="Vermögend und ambulant",D907&gt;8,D907&lt;=1000),211,IF(AND(L900="Vermögend und ambulant",D907&gt;4,D907&lt;=8),257,IF(AND(L900="Vermögend und ambulant",D907&gt;2,D907&lt;=4),312,IF(AND(L900="Vermögend und ambulant",D907&gt;1,D907&lt;=2),339,IF(AND(L900="Vermögend und ambulant",D907&gt;0,D907&lt;=1),486,IF(AND(L900="Vermögend und stationär",D907&gt;8,D907&lt;=1000),127,IF(AND(L900="Vermögend und stationär",D907&gt;4,D907&lt;=8),149,IF(AND(L900="Vermögend und stationär",D907&gt;2,D907&lt;=4),229,IF(AND(L900="Vermögend und stationär",D907&gt;1,D907&lt;=2),257,IF(AND(L900="Vermögend und stationär",D907&gt;0,D907&lt;=1),327,IF(AND(L900="Mittellos und ambulant",D907&gt;8,D907&lt;=1000),171,IF(AND(L900="Mittellos und ambulant",D907&gt;4,D907&lt;=8),198,IF(AND(L900="Mittellos und ambulant",D907&gt;2,D907&lt;=4),246,IF(AND(L900="Mittellos und ambulant",D907&gt;1,D907&lt;=2),277,IF(AND(L900="Mittellos und ambulant",D907&gt;0,D907&lt;=1),339,IF(AND(L900="Mittellos und stationär",D907&gt;8,D907&lt;=1000),102,IF(AND(L900="Mittellos und stationär",D907&gt;4,D907&lt;=8),141,IF(AND(L900="Mittellos und stationär",D907&gt;2,D907&lt;=4),202,IF(AND(L900="Mittellos und stationär",D907&gt;1,D907&lt;=2),208,IF(AND(L900="Mittellos und stationär",D907&gt;0,D907&lt;=1),317,""))))))))))))))))))))),"")))*3+(J899*90)</f>
        <v>#NUM!</v>
      </c>
      <c r="M908" s="507" t="str">
        <f>CONCATENATE(K908, K907)</f>
        <v>+Inflat.-P</v>
      </c>
      <c r="N908" s="216"/>
      <c r="O908" s="188"/>
      <c r="P908" s="188"/>
      <c r="Q908" s="217" t="s">
        <v>118</v>
      </c>
      <c r="R908" s="189"/>
      <c r="S908" s="190"/>
      <c r="T908" s="190"/>
      <c r="U908" s="191"/>
      <c r="V908" s="192"/>
      <c r="W908" s="190"/>
      <c r="X908" s="190"/>
      <c r="Y908" s="191"/>
      <c r="Z908" s="192"/>
      <c r="AA908" s="190"/>
      <c r="AB908" s="190"/>
      <c r="AC908" s="191"/>
      <c r="AD908" s="192"/>
      <c r="AE908" s="190" t="s">
        <v>118</v>
      </c>
      <c r="AF908" s="190" t="s">
        <v>117</v>
      </c>
      <c r="AG908" s="191" t="s">
        <v>26</v>
      </c>
      <c r="AH908" s="193"/>
      <c r="AI908" s="190" t="s">
        <v>118</v>
      </c>
      <c r="AJ908" s="190" t="s">
        <v>117</v>
      </c>
      <c r="AK908" s="374" t="s">
        <v>26</v>
      </c>
      <c r="AL908" s="348" t="s">
        <v>151</v>
      </c>
      <c r="AM908" s="354"/>
      <c r="AN908" s="354"/>
      <c r="AO908" s="354"/>
      <c r="AP908" s="354">
        <f>IF(SUM(Q900:Q908)=SUM(AE900:AE908,AI900:AI908), 0, SUM(Q900:Q908)-SUM(AE900:AE908,AI900:AI908))</f>
        <v>0</v>
      </c>
      <c r="AQ908" s="350">
        <f>AM908+AN908+AO908+AP908</f>
        <v>0</v>
      </c>
      <c r="AR908" s="769"/>
      <c r="AS908" s="769"/>
      <c r="AT908" s="769"/>
      <c r="BM908" s="335"/>
    </row>
    <row r="909" spans="1:65" ht="22" customHeight="1">
      <c r="A909" s="181">
        <f t="shared" si="313"/>
        <v>45292</v>
      </c>
      <c r="B909" s="232" t="s">
        <v>74</v>
      </c>
      <c r="C909" s="233" t="s">
        <v>75</v>
      </c>
      <c r="D909" s="234" t="s">
        <v>76</v>
      </c>
      <c r="E909" s="235" t="s">
        <v>11</v>
      </c>
      <c r="F909" s="235" t="s">
        <v>4</v>
      </c>
      <c r="G909" s="235" t="s">
        <v>5</v>
      </c>
      <c r="H909" s="235" t="s">
        <v>6</v>
      </c>
      <c r="I909" s="236" t="s">
        <v>77</v>
      </c>
      <c r="J909" s="306"/>
      <c r="K909" s="506" t="str">
        <f t="shared" si="294"/>
        <v/>
      </c>
      <c r="L909" s="306" t="str">
        <f>IFERROR(VLOOKUP(B910,'Aktuelle Einnahmen'!A2:J104,10,0),"")</f>
        <v/>
      </c>
      <c r="M909" s="510" t="str">
        <f>M899</f>
        <v>Stufe C</v>
      </c>
      <c r="N909" s="237"/>
      <c r="O909" s="238"/>
      <c r="P909" s="238"/>
      <c r="Q909" s="239"/>
      <c r="R909" s="240"/>
      <c r="S909" s="241"/>
      <c r="T909" s="241"/>
      <c r="U909" s="242"/>
      <c r="V909" s="243"/>
      <c r="W909" s="241"/>
      <c r="X909" s="241"/>
      <c r="Y909" s="242"/>
      <c r="Z909" s="243"/>
      <c r="AA909" s="241"/>
      <c r="AB909" s="241"/>
      <c r="AC909" s="242"/>
      <c r="AD909" s="243"/>
      <c r="AE909" s="241"/>
      <c r="AF909" s="241"/>
      <c r="AG909" s="242"/>
      <c r="AH909" s="240"/>
      <c r="AI909" s="241"/>
      <c r="AJ909" s="241"/>
      <c r="AK909" s="377"/>
      <c r="AL909" s="347"/>
      <c r="AM909" s="353"/>
      <c r="AN909" s="353"/>
      <c r="AO909" s="353"/>
      <c r="AP909" s="353"/>
      <c r="AQ909" s="349"/>
      <c r="AR909" s="768"/>
      <c r="AS909" s="768"/>
      <c r="AT909" s="768"/>
      <c r="BM909" s="335"/>
    </row>
    <row r="910" spans="1:65" ht="23" customHeight="1">
      <c r="A910" s="181">
        <f t="shared" si="313"/>
        <v>45292</v>
      </c>
      <c r="B910" s="182">
        <v>91</v>
      </c>
      <c r="C910" s="245">
        <f>IFERROR(VLOOKUP($B910,'Aktuelle Einnahmen'!A2:G104,3,0),"")</f>
        <v>0</v>
      </c>
      <c r="D910" s="246">
        <f>IFERROR(VLOOKUP($B910,'Aktuelle Einnahmen'!A2:G104,2,0),"")</f>
        <v>0</v>
      </c>
      <c r="E910" s="247">
        <f>IFERROR(VLOOKUP($B910,'Aktuelle Einnahmen'!A2:G104,4,0),"")</f>
        <v>0</v>
      </c>
      <c r="F910" s="94">
        <f>IFERROR(VLOOKUP($B910,'Aktuelle Einnahmen'!A2:G104,5,0),"")</f>
        <v>0</v>
      </c>
      <c r="G910" s="94">
        <f>IFERROR(VLOOKUP($B910,'Aktuelle Einnahmen'!A2:G104,6,0),"")</f>
        <v>0</v>
      </c>
      <c r="H910" s="94">
        <f>IFERROR(VLOOKUP($B910,'Aktuelle Einnahmen'!A2:G104,7,0),"")</f>
        <v>0</v>
      </c>
      <c r="I910" s="186" t="e">
        <f>DATE(H910,G910,F910)</f>
        <v>#NUM!</v>
      </c>
      <c r="J910" s="472">
        <f ca="1">J900</f>
        <v>45475</v>
      </c>
      <c r="K910" s="501" t="str">
        <f t="shared" ref="K910:K973" si="314">K908</f>
        <v>+Inflat.-P</v>
      </c>
      <c r="L910" s="1262" t="str">
        <f>IFERROR(VLOOKUP(B910,'Aktuelle Einnahmen'!A22:I124,9,0),"")</f>
        <v>Auswahl treffen</v>
      </c>
      <c r="M910" s="1263"/>
      <c r="N910" s="261"/>
      <c r="O910" s="261"/>
      <c r="P910" s="261"/>
      <c r="Q910" s="261"/>
      <c r="R910" s="189"/>
      <c r="S910" s="190"/>
      <c r="T910" s="190"/>
      <c r="U910" s="191"/>
      <c r="V910" s="192"/>
      <c r="W910" s="190"/>
      <c r="X910" s="190"/>
      <c r="Y910" s="191"/>
      <c r="Z910" s="192"/>
      <c r="AA910" s="190"/>
      <c r="AB910" s="190"/>
      <c r="AC910" s="191"/>
      <c r="AD910" s="192"/>
      <c r="AE910" s="190"/>
      <c r="AF910" s="190"/>
      <c r="AG910" s="191"/>
      <c r="AH910" s="193"/>
      <c r="AI910" s="190"/>
      <c r="AJ910" s="190"/>
      <c r="AK910" s="374"/>
      <c r="AL910" s="348"/>
      <c r="AM910" s="354"/>
      <c r="AN910" s="354"/>
      <c r="AO910" s="354"/>
      <c r="AP910" s="354"/>
      <c r="AQ910" s="350"/>
      <c r="AR910" s="769"/>
      <c r="AS910" s="769"/>
      <c r="AT910" s="769"/>
      <c r="BM910" s="335"/>
    </row>
    <row r="911" spans="1:65" ht="22.25" customHeight="1">
      <c r="A911" s="181">
        <f t="shared" si="313"/>
        <v>45292</v>
      </c>
      <c r="B911" s="484" t="e">
        <f>DAY(I910)</f>
        <v>#NUM!</v>
      </c>
      <c r="C911" s="489" t="s">
        <v>158</v>
      </c>
      <c r="D911" s="520" t="e">
        <f>(I911*4)+J911/3+1</f>
        <v>#NUM!</v>
      </c>
      <c r="E911" s="194" t="e">
        <f>J913+1</f>
        <v>#NUM!</v>
      </c>
      <c r="F911" s="195" t="e">
        <f t="shared" ref="F911:F918" si="315">DAY(E911)</f>
        <v>#NUM!</v>
      </c>
      <c r="G911" s="196" t="e">
        <f t="shared" ref="G911:G918" si="316">MONTH(E911)</f>
        <v>#NUM!</v>
      </c>
      <c r="H911" s="195" t="e">
        <f t="shared" ref="H911:H918" si="317">YEAR(E911)</f>
        <v>#NUM!</v>
      </c>
      <c r="I911" s="197" t="e">
        <f>H911-(H910+2000)</f>
        <v>#NUM!</v>
      </c>
      <c r="J911" s="198" t="e">
        <f>G911-G910</f>
        <v>#NUM!</v>
      </c>
      <c r="K911" s="506" t="str">
        <f>L909</f>
        <v/>
      </c>
      <c r="L911" s="469"/>
      <c r="M911" s="473" t="e">
        <f ca="1">SUM(J910-E912)&amp;" Tage"</f>
        <v>#NUM!</v>
      </c>
      <c r="N911" s="206"/>
      <c r="O911" s="201"/>
      <c r="P911" s="201"/>
      <c r="Q911" s="202"/>
      <c r="R911" s="189"/>
      <c r="S911" s="203"/>
      <c r="T911" s="203"/>
      <c r="U911" s="204"/>
      <c r="V911" s="192"/>
      <c r="W911" s="203"/>
      <c r="X911" s="203"/>
      <c r="Y911" s="204"/>
      <c r="Z911" s="192"/>
      <c r="AA911" s="203"/>
      <c r="AB911" s="203"/>
      <c r="AC911" s="204"/>
      <c r="AD911" s="192"/>
      <c r="AE911" s="203"/>
      <c r="AF911" s="203"/>
      <c r="AG911" s="204"/>
      <c r="AH911" s="193"/>
      <c r="AI911" s="203"/>
      <c r="AJ911" s="203"/>
      <c r="AK911" s="375"/>
      <c r="AL911" s="348"/>
      <c r="AM911" s="354"/>
      <c r="AN911" s="354"/>
      <c r="AO911" s="354"/>
      <c r="AP911" s="354"/>
      <c r="AQ911" s="350"/>
      <c r="AR911" s="769"/>
      <c r="AS911" s="769"/>
      <c r="AT911" s="769"/>
      <c r="BM911" s="335"/>
    </row>
    <row r="912" spans="1:65" ht="22.25" customHeight="1">
      <c r="A912" s="181">
        <f t="shared" si="313"/>
        <v>45292</v>
      </c>
      <c r="B912" s="485"/>
      <c r="C912" s="490"/>
      <c r="D912" s="521"/>
      <c r="E912" s="194" t="e">
        <f>DATE(YEAR(E911),MONTH(E911)+3,DAY(E911)-1)</f>
        <v>#NUM!</v>
      </c>
      <c r="F912" s="195" t="e">
        <f t="shared" si="315"/>
        <v>#NUM!</v>
      </c>
      <c r="G912" s="196" t="e">
        <f t="shared" si="316"/>
        <v>#NUM!</v>
      </c>
      <c r="H912" s="195" t="e">
        <f t="shared" si="317"/>
        <v>#NUM!</v>
      </c>
      <c r="I912" s="244">
        <v>-1</v>
      </c>
      <c r="J912" s="198" t="e">
        <f>F911-F910</f>
        <v>#NUM!</v>
      </c>
      <c r="K912" s="501" t="str">
        <f t="shared" si="314"/>
        <v>+Inflat.-P</v>
      </c>
      <c r="L912" s="511" t="e">
        <f>IF(M909="Stufe A",IF(AND(L910="Auswahl treffen",D911&gt;=0,D911&lt;=1000),J909,IF(AND(L910="Vermögend und ambulant",D911&gt;8,D911&lt;=1000),130,IF(AND(L910="Vermögend und ambulant",D911&gt;4,D911&lt;=8),158,IF(AND(L910="Vermögend und ambulant",D911&gt;2,D911&lt;=4),192,IF(AND(L910="Vermögend und ambulant",D911&gt;1,D911&lt;=2),208,IF(AND(L910="Vermögend und ambulant",D911&gt;0,D911&lt;=1),298,IF(AND(L910="Vermögend und stationär",D911&gt;8,D911&lt;=1000),78,IF(AND(L910="Vermögend und stationär",D911&gt;4,D911&lt;=8),91,IF(AND(L910="Vermögend und stationär",D911&gt;2,D911&lt;=4),140,IF(AND(L910="Vermögend und stationär",D911&gt;1,D911&lt;=2),158,IF(AND(L910="Vermögend und stationär",D911&gt;0,D911&lt;=1),200,IF(AND(L910="Mittellos und ambulant",D911&gt;8,D911&lt;=1000),105,IF(AND(L910="Mittellos und ambulant",D911&gt;4,D911&lt;=8),122,IF(AND(L910="Mittellos und ambulant",D911&gt;2,D911&lt;=4),151,IF(AND(L910="Mittellos und ambulant",D911&gt;1,D911&lt;=2),170,IF(AND(L910="Mittellos und ambulant",D911&gt;0,D911&lt;=1),208,IF(AND(L910="Mittellos und stationär",D911&gt;8,D911&lt;=1000),62,IF(AND(L910="Mittellos und stationär",D911&gt;4,D911&lt;=8),87,IF(AND(L910="Mittellos und stationär",D911&gt;2,D911&lt;=4),124,IF(AND(L910="Mittellos und stationär",D911&gt;1,D911&lt;=2),129,IF(AND(L910="Mittellos und stationär",D911&gt;0,D911&lt;=1),194,""))))))))))))))))))))),IF(M909="Stufe B",IF(AND(L910="Auswahl treffen",D911&gt;=0,D911&lt;=1000),J909,IF(AND(L910="Vermögend und ambulant",D911&gt;8,D911&lt;=1000),161,IF(AND(L910="Vermögend und ambulant",D911&gt;4,D911&lt;=8),196,IF(AND(L910="Vermögend und ambulant",D911&gt;2,D911&lt;=4),238,IF(AND(L910="Vermögend und ambulant",D911&gt;1,D911&lt;=2),258,IF(AND(L910="Vermögend und ambulant",D911&gt;0,D911&lt;=1),370,IF(AND(L910="Vermögend und stationär",D911&gt;8,D911&lt;=1000),96,IF(AND(L910="Vermögend und stationär",D911&gt;4,D911&lt;=8),113,IF(AND(L910="Vermögend und stationär",D911&gt;2,D911&lt;=4),174,IF(AND(L910="Vermögend und stationär",D911&gt;1,D911&lt;=2),196,IF(AND(L910="Vermögend und stationär",D911&gt;0,D911&lt;=1),249,IF(AND(L910="Mittellos und ambulant",D911&gt;8,D911&lt;=1000),130,IF(AND(L910="Mittellos und ambulant",D911&gt;4,D911&lt;=8),151,IF(AND(L910="Mittellos und ambulant",D911&gt;2,D911&lt;=4),188,IF(AND(L910="Mittellos und ambulant",D911&gt;1,D911&lt;=2),211,IF(AND(L910="Mittellos und ambulant",D911&gt;0,D911&lt;=1),258,IF(AND(L910="Mittellos und stationär",D911&gt;8,D911&lt;=1000),78,IF(AND(L910="Mittellos und stationär",D911&gt;4,D911&lt;=8),107,IF(AND(L910="Mittellos und stationär",D911&gt;2,D911&lt;=4),154,IF(AND(L910="Mittellos und stationär",D911&gt;1,D911&lt;=2),158,IF(AND(L910="Mittellos und stationär",D911&gt;0,D911&lt;=1),241,""))))))))))))))))))))),IF(M909="Stufe C",IF(AND(L910="Auswahl treffen",D911&gt;=0,D911&lt;=1000),J909,IF(AND(L910="Vermögend und ambulant",D911&gt;8,D911&lt;=1000),211,IF(AND(L910="Vermögend und ambulant",D911&gt;4,D911&lt;=8),257,IF(AND(L910="Vermögend und ambulant",D911&gt;2,D911&lt;=4),312,IF(AND(L910="Vermögend und ambulant",D911&gt;1,D911&lt;=2),339,IF(AND(L910="Vermögend und ambulant",D911&gt;0,D911&lt;=1),486,IF(AND(L910="Vermögend und stationär",D911&gt;8,D911&lt;=1000),127,IF(AND(L910="Vermögend und stationär",D911&gt;4,D911&lt;=8),149,IF(AND(L910="Vermögend und stationär",D911&gt;2,D911&lt;=4),229,IF(AND(L910="Vermögend und stationär",D911&gt;1,D911&lt;=2),257,IF(AND(L910="Vermögend und stationär",D911&gt;0,D911&lt;=1),327,IF(AND(L910="Mittellos und ambulant",D911&gt;8,D911&lt;=1000),171,IF(AND(L910="Mittellos und ambulant",D911&gt;4,D911&lt;=8),198,IF(AND(L910="Mittellos und ambulant",D911&gt;2,D911&lt;=4),246,IF(AND(L910="Mittellos und ambulant",D911&gt;1,D911&lt;=2),277,IF(AND(L910="Mittellos und ambulant",D911&gt;0,D911&lt;=1),339,IF(AND(L910="Mittellos und stationär",D911&gt;8,D911&lt;=1000),102,IF(AND(L910="Mittellos und stationär",D911&gt;4,D911&lt;=8),141,IF(AND(L910="Mittellos und stationär",D911&gt;2,D911&lt;=4),202,IF(AND(L910="Mittellos und stationär",D911&gt;1,D911&lt;=2),208,IF(AND(L910="Mittellos und stationär",D911&gt;0,D911&lt;=1),317,""))))))))))))))))))))),"")))*3+(J909*90)</f>
        <v>#NUM!</v>
      </c>
      <c r="M912" s="507" t="str">
        <f>CONCATENATE(K912, K911)</f>
        <v>+Inflat.-P</v>
      </c>
      <c r="N912" s="206" t="s">
        <v>118</v>
      </c>
      <c r="O912" s="207"/>
      <c r="P912" s="207"/>
      <c r="Q912" s="208"/>
      <c r="R912" s="187"/>
      <c r="S912" s="209" t="s">
        <v>118</v>
      </c>
      <c r="T912" s="201" t="s">
        <v>117</v>
      </c>
      <c r="U912" s="210" t="s">
        <v>26</v>
      </c>
      <c r="V912" s="192"/>
      <c r="W912" s="203"/>
      <c r="X912" s="203"/>
      <c r="Y912" s="210"/>
      <c r="Z912" s="192"/>
      <c r="AA912" s="203"/>
      <c r="AB912" s="203"/>
      <c r="AC912" s="210"/>
      <c r="AD912" s="192"/>
      <c r="AE912" s="203"/>
      <c r="AF912" s="203"/>
      <c r="AG912" s="210"/>
      <c r="AH912" s="193"/>
      <c r="AI912" s="203"/>
      <c r="AJ912" s="203"/>
      <c r="AK912" s="376"/>
      <c r="AL912" s="348" t="s">
        <v>148</v>
      </c>
      <c r="AM912" s="354">
        <f>IF(SUM(N910:N918)=SUM(S910:S918), 0, SUM(N910:N918)-SUM(S910:S918))</f>
        <v>0</v>
      </c>
      <c r="AN912" s="354"/>
      <c r="AO912" s="354"/>
      <c r="AP912" s="354"/>
      <c r="AQ912" s="350">
        <f>AM912+AN912+AO912+AP912</f>
        <v>0</v>
      </c>
      <c r="AR912" s="769"/>
      <c r="AS912" s="769"/>
      <c r="AT912" s="769"/>
      <c r="BM912" s="335"/>
    </row>
    <row r="913" spans="1:65" ht="22.25" customHeight="1">
      <c r="A913" s="181">
        <f t="shared" si="313"/>
        <v>45292</v>
      </c>
      <c r="B913" s="484" t="e">
        <f>MONTH(I910)</f>
        <v>#NUM!</v>
      </c>
      <c r="C913" s="489" t="s">
        <v>158</v>
      </c>
      <c r="D913" s="522" t="e">
        <f>D911+1</f>
        <v>#NUM!</v>
      </c>
      <c r="E913" s="211" t="e">
        <f>DATE(YEAR(E912),MONTH(E912),DAY(E912)+1)</f>
        <v>#NUM!</v>
      </c>
      <c r="F913" s="212" t="e">
        <f t="shared" si="315"/>
        <v>#NUM!</v>
      </c>
      <c r="G913" s="213" t="e">
        <f t="shared" si="316"/>
        <v>#NUM!</v>
      </c>
      <c r="H913" s="212" t="e">
        <f t="shared" si="317"/>
        <v>#NUM!</v>
      </c>
      <c r="I913" s="214" t="str">
        <f>IF(D910&lt;&gt;0,"-1T","")</f>
        <v/>
      </c>
      <c r="J913" s="215" t="e">
        <f>DATE($B915,I914,$B911)</f>
        <v>#NUM!</v>
      </c>
      <c r="K913" s="506" t="str">
        <f t="shared" si="314"/>
        <v/>
      </c>
      <c r="L913" s="470"/>
      <c r="M913" s="473" t="e">
        <f ca="1">SUM(J910-E914)&amp;" Tage"</f>
        <v>#NUM!</v>
      </c>
      <c r="N913" s="216"/>
      <c r="O913" s="217"/>
      <c r="P913" s="188"/>
      <c r="Q913" s="217"/>
      <c r="R913" s="189"/>
      <c r="S913" s="190"/>
      <c r="T913" s="190"/>
      <c r="U913" s="191"/>
      <c r="V913" s="192"/>
      <c r="W913" s="190"/>
      <c r="X913" s="190"/>
      <c r="Y913" s="191"/>
      <c r="Z913" s="192"/>
      <c r="AA913" s="190"/>
      <c r="AB913" s="190"/>
      <c r="AC913" s="191"/>
      <c r="AD913" s="192"/>
      <c r="AE913" s="190"/>
      <c r="AF913" s="190"/>
      <c r="AG913" s="191"/>
      <c r="AH913" s="193"/>
      <c r="AI913" s="190"/>
      <c r="AJ913" s="190"/>
      <c r="AK913" s="374"/>
      <c r="AL913" s="348"/>
      <c r="AM913" s="354"/>
      <c r="AN913" s="354"/>
      <c r="AO913" s="354"/>
      <c r="AP913" s="354"/>
      <c r="AQ913" s="350"/>
      <c r="AR913" s="769"/>
      <c r="AS913" s="769"/>
      <c r="AT913" s="769"/>
      <c r="BM913" s="335"/>
    </row>
    <row r="914" spans="1:65" ht="22.25" customHeight="1">
      <c r="A914" s="181">
        <f t="shared" si="313"/>
        <v>45292</v>
      </c>
      <c r="B914" s="485"/>
      <c r="C914" s="490"/>
      <c r="D914" s="521"/>
      <c r="E914" s="218" t="e">
        <f>DATE(YEAR(E913),MONTH(E913)+3,DAY(E913)-1)</f>
        <v>#NUM!</v>
      </c>
      <c r="F914" s="212" t="e">
        <f t="shared" si="315"/>
        <v>#NUM!</v>
      </c>
      <c r="G914" s="213" t="e">
        <f t="shared" si="316"/>
        <v>#NUM!</v>
      </c>
      <c r="H914" s="212" t="e">
        <f t="shared" si="317"/>
        <v>#NUM!</v>
      </c>
      <c r="I914" s="219">
        <f>MAX(I915:I918)</f>
        <v>9</v>
      </c>
      <c r="J914" s="220" t="e">
        <f>DATE(YEAR(J913)+1,MONTH(J913),DAY(J913))</f>
        <v>#NUM!</v>
      </c>
      <c r="K914" s="501" t="str">
        <f t="shared" si="314"/>
        <v>+Inflat.-P</v>
      </c>
      <c r="L914" s="508" t="e">
        <f>IF(M909="Stufe A",IF(AND(L910="Auswahl treffen",D913&gt;=0,D913&lt;=1000),J909,IF(AND(L910="Vermögend und ambulant",D913&gt;8,D913&lt;=1000),130,IF(AND(L910="Vermögend und ambulant",D913&gt;4,D913&lt;=8),158,IF(AND(L910="Vermögend und ambulant",D913&gt;2,D913&lt;=4),192,IF(AND(L910="Vermögend und ambulant",D913&gt;1,D913&lt;=2),208,IF(AND(L910="Vermögend und ambulant",D913&gt;0,D913&lt;=1),298,IF(AND(L910="Vermögend und stationär",D913&gt;8,D913&lt;=1000),78,IF(AND(L910="Vermögend und stationär",D913&gt;4,D913&lt;=8),91,IF(AND(L910="Vermögend und stationär",D913&gt;2,D913&lt;=4),140,IF(AND(L910="Vermögend und stationär",D913&gt;1,D913&lt;=2),158,IF(AND(L910="Vermögend und stationär",D913&gt;0,D913&lt;=1),200,IF(AND(L910="Mittellos und ambulant",D913&gt;8,D913&lt;=1000),105,IF(AND(L910="Mittellos und ambulant",D913&gt;4,D913&lt;=8),122,IF(AND(L910="Mittellos und ambulant",D913&gt;2,D913&lt;=4),151,IF(AND(L910="Mittellos und ambulant",D913&gt;1,D913&lt;=2),170,IF(AND(L910="Mittellos und ambulant",D913&gt;0,D913&lt;=1),208,IF(AND(L910="Mittellos und stationär",D913&gt;8,D913&lt;=1000),62,IF(AND(L910="Mittellos und stationär",D913&gt;4,D913&lt;=8),87,IF(AND(L910="Mittellos und stationär",D913&gt;2,D913&lt;=4),124,IF(AND(L910="Mittellos und stationär",D913&gt;1,D913&lt;=2),129,IF(AND(L910="Mittellos und stationär",D913&gt;0,D913&lt;=1),194,""))))))))))))))))))))),IF(M909="Stufe B",IF(AND(L910="Auswahl treffen",D913&gt;=0,D913&lt;=1000),J909,IF(AND(L910="Vermögend und ambulant",D913&gt;8,D913&lt;=1000),161,IF(AND(L910="Vermögend und ambulant",D913&gt;4,D913&lt;=8),196,IF(AND(L910="Vermögend und ambulant",D913&gt;2,D913&lt;=4),238,IF(AND(L910="Vermögend und ambulant",D913&gt;1,D913&lt;=2),258,IF(AND(L910="Vermögend und ambulant",D913&gt;0,D913&lt;=1),370,IF(AND(L910="Vermögend und stationär",D913&gt;8,D913&lt;=1000),96,IF(AND(L910="Vermögend und stationär",D913&gt;4,D913&lt;=8),113,IF(AND(L910="Vermögend und stationär",D913&gt;2,D913&lt;=4),174,IF(AND(L910="Vermögend und stationär",D913&gt;1,D913&lt;=2),196,IF(AND(L910="Vermögend und stationär",D913&gt;0,D913&lt;=1),249,IF(AND(L910="Mittellos und ambulant",D913&gt;8,D913&lt;=1000),130,IF(AND(L910="Mittellos und ambulant",D913&gt;4,D913&lt;=8),151,IF(AND(L910="Mittellos und ambulant",D913&gt;2,D913&lt;=4),188,IF(AND(L910="Mittellos und ambulant",D913&gt;1,D913&lt;=2),211,IF(AND(L910="Mittellos und ambulant",D913&gt;0,D913&lt;=1),258,IF(AND(L910="Mittellos und stationär",D913&gt;8,D913&lt;=1000),78,IF(AND(L910="Mittellos und stationär",D913&gt;4,D913&lt;=8),107,IF(AND(L910="Mittellos und stationär",D913&gt;2,D913&lt;=4),154,IF(AND(L910="Mittellos und stationär",D913&gt;1,D913&lt;=2),158,IF(AND(L910="Mittellos und stationär",D913&gt;0,D913&lt;=1),241,""))))))))))))))))))))),IF(M909="Stufe C",IF(AND(L910="Auswahl treffen",D913&gt;=0,D913&lt;=1000),J909,IF(AND(L910="Vermögend und ambulant",D913&gt;8,D913&lt;=1000),211,IF(AND(L910="Vermögend und ambulant",D913&gt;4,D913&lt;=8),257,IF(AND(L910="Vermögend und ambulant",D913&gt;2,D913&lt;=4),312,IF(AND(L910="Vermögend und ambulant",D913&gt;1,D913&lt;=2),339,IF(AND(L910="Vermögend und ambulant",D913&gt;0,D913&lt;=1),486,IF(AND(L910="Vermögend und stationär",D913&gt;8,D913&lt;=1000),127,IF(AND(L910="Vermögend und stationär",D913&gt;4,D913&lt;=8),149,IF(AND(L910="Vermögend und stationär",D913&gt;2,D913&lt;=4),229,IF(AND(L910="Vermögend und stationär",D913&gt;1,D913&lt;=2),257,IF(AND(L910="Vermögend und stationär",D913&gt;0,D913&lt;=1),327,IF(AND(L910="Mittellos und ambulant",D913&gt;8,D913&lt;=1000),171,IF(AND(L910="Mittellos und ambulant",D913&gt;4,D913&lt;=8),198,IF(AND(L910="Mittellos und ambulant",D913&gt;2,D913&lt;=4),246,IF(AND(L910="Mittellos und ambulant",D913&gt;1,D913&lt;=2),277,IF(AND(L910="Mittellos und ambulant",D913&gt;0,D913&lt;=1),339,IF(AND(L910="Mittellos und stationär",D913&gt;8,D913&lt;=1000),102,IF(AND(L910="Mittellos und stationär",D913&gt;4,D913&lt;=8),141,IF(AND(L910="Mittellos und stationär",D913&gt;2,D913&lt;=4),202,IF(AND(L910="Mittellos und stationär",D913&gt;1,D913&lt;=2),208,IF(AND(L910="Mittellos und stationär",D913&gt;0,D913&lt;=1),317,""))))))))))))))))))))),"")))*3+(J909*90)</f>
        <v>#NUM!</v>
      </c>
      <c r="M914" s="507" t="str">
        <f>CONCATENATE(K914, K913)</f>
        <v>+Inflat.-P</v>
      </c>
      <c r="N914" s="216"/>
      <c r="O914" s="188" t="s">
        <v>118</v>
      </c>
      <c r="P914" s="188"/>
      <c r="Q914" s="221"/>
      <c r="R914" s="199"/>
      <c r="S914" s="190"/>
      <c r="T914" s="190"/>
      <c r="U914" s="191"/>
      <c r="V914" s="192"/>
      <c r="W914" s="222" t="s">
        <v>118</v>
      </c>
      <c r="X914" s="222" t="s">
        <v>117</v>
      </c>
      <c r="Y914" s="191" t="s">
        <v>26</v>
      </c>
      <c r="Z914" s="192"/>
      <c r="AA914" s="190"/>
      <c r="AB914" s="190"/>
      <c r="AC914" s="191"/>
      <c r="AD914" s="192"/>
      <c r="AE914" s="190"/>
      <c r="AF914" s="190"/>
      <c r="AG914" s="191"/>
      <c r="AH914" s="193"/>
      <c r="AI914" s="190"/>
      <c r="AJ914" s="190"/>
      <c r="AK914" s="374"/>
      <c r="AL914" s="348" t="s">
        <v>149</v>
      </c>
      <c r="AM914" s="354"/>
      <c r="AN914" s="354">
        <f>IF(SUM(O910:O918)=SUM(W910:W918), 0, SUM(O910:O918)-SUM(W910:W918))</f>
        <v>0</v>
      </c>
      <c r="AO914" s="354"/>
      <c r="AP914" s="354"/>
      <c r="AQ914" s="350">
        <f>AM914+AN914+AO914+AP914</f>
        <v>0</v>
      </c>
      <c r="AR914" s="769"/>
      <c r="AS914" s="769"/>
      <c r="AT914" s="769"/>
      <c r="BM914" s="335"/>
    </row>
    <row r="915" spans="1:65" ht="22.25" customHeight="1">
      <c r="A915" s="181">
        <f t="shared" si="313"/>
        <v>45292</v>
      </c>
      <c r="B915" s="484">
        <f>YEAR($A916)-1</f>
        <v>2023</v>
      </c>
      <c r="C915" s="489" t="s">
        <v>158</v>
      </c>
      <c r="D915" s="520" t="e">
        <f>D913+1</f>
        <v>#NUM!</v>
      </c>
      <c r="E915" s="194" t="e">
        <f>DATE(YEAR(E914),MONTH(E914),DAY(E914)+1)</f>
        <v>#NUM!</v>
      </c>
      <c r="F915" s="195" t="e">
        <f t="shared" si="315"/>
        <v>#NUM!</v>
      </c>
      <c r="G915" s="196" t="e">
        <f t="shared" si="316"/>
        <v>#NUM!</v>
      </c>
      <c r="H915" s="195" t="e">
        <f t="shared" si="317"/>
        <v>#NUM!</v>
      </c>
      <c r="I915" s="197">
        <f>IF(J917&lt;13,J917,"")</f>
        <v>9</v>
      </c>
      <c r="J915" s="224">
        <f>G910</f>
        <v>0</v>
      </c>
      <c r="K915" s="501" t="str">
        <f t="shared" si="314"/>
        <v/>
      </c>
      <c r="L915" s="471"/>
      <c r="M915" s="473" t="e">
        <f ca="1">SUM(J910-E916)&amp;" Tage"</f>
        <v>#NUM!</v>
      </c>
      <c r="N915" s="200"/>
      <c r="O915" s="201"/>
      <c r="P915" s="201"/>
      <c r="Q915" s="202"/>
      <c r="R915" s="189"/>
      <c r="S915" s="203"/>
      <c r="T915" s="203"/>
      <c r="U915" s="204"/>
      <c r="V915" s="192"/>
      <c r="W915" s="203"/>
      <c r="X915" s="203"/>
      <c r="Y915" s="204"/>
      <c r="Z915" s="192"/>
      <c r="AA915" s="203"/>
      <c r="AB915" s="203"/>
      <c r="AC915" s="204"/>
      <c r="AD915" s="192"/>
      <c r="AE915" s="203"/>
      <c r="AF915" s="203"/>
      <c r="AG915" s="204"/>
      <c r="AH915" s="193"/>
      <c r="AI915" s="203"/>
      <c r="AJ915" s="203"/>
      <c r="AK915" s="375"/>
      <c r="AL915" s="348"/>
      <c r="AM915" s="354"/>
      <c r="AN915" s="354"/>
      <c r="AO915" s="354"/>
      <c r="AP915" s="354"/>
      <c r="AQ915" s="350"/>
      <c r="AR915" s="769"/>
      <c r="AS915" s="769"/>
      <c r="AT915" s="769"/>
      <c r="BM915" s="335"/>
    </row>
    <row r="916" spans="1:65" ht="22.25" customHeight="1">
      <c r="A916" s="181">
        <f t="shared" si="313"/>
        <v>45292</v>
      </c>
      <c r="B916" s="485"/>
      <c r="C916" s="490"/>
      <c r="D916" s="521"/>
      <c r="E916" s="194" t="e">
        <f>DATE(YEAR(E915),MONTH(E915)+3,DAY(E915)-1)</f>
        <v>#NUM!</v>
      </c>
      <c r="F916" s="195" t="e">
        <f t="shared" si="315"/>
        <v>#NUM!</v>
      </c>
      <c r="G916" s="196" t="e">
        <f t="shared" si="316"/>
        <v>#NUM!</v>
      </c>
      <c r="H916" s="195" t="e">
        <f t="shared" si="317"/>
        <v>#NUM!</v>
      </c>
      <c r="I916" s="244">
        <f>IF(J918&lt;13,J918,"")</f>
        <v>6</v>
      </c>
      <c r="J916" s="224">
        <f>J915+3</f>
        <v>3</v>
      </c>
      <c r="K916" s="506" t="str">
        <f t="shared" si="314"/>
        <v>+Inflat.-P</v>
      </c>
      <c r="L916" s="511" t="e">
        <f>IF(M909="Stufe A",IF(AND(L910="Auswahl treffen",D915&gt;=0,D915&lt;=1000),J909,IF(AND(L910="Vermögend und ambulant",D915&gt;8,D915&lt;=1000),130,IF(AND(L910="Vermögend und ambulant",D915&gt;4,D915&lt;=8),158,IF(AND(L910="Vermögend und ambulant",D915&gt;2,D915&lt;=4),192,IF(AND(L910="Vermögend und ambulant",D915&gt;1,D915&lt;=2),208,IF(AND(L910="Vermögend und ambulant",D915&gt;0,D915&lt;=1),298,IF(AND(L910="Vermögend und stationär",D915&gt;8,D915&lt;=1000),78,IF(AND(L910="Vermögend und stationär",D915&gt;4,D915&lt;=8),91,IF(AND(L910="Vermögend und stationär",D915&gt;2,D915&lt;=4),140,IF(AND(L910="Vermögend und stationär",D915&gt;1,D915&lt;=2),158,IF(AND(L910="Vermögend und stationär",D915&gt;0,D915&lt;=1),200,IF(AND(L910="Mittellos und ambulant",D915&gt;8,D915&lt;=1000),105,IF(AND(L910="Mittellos und ambulant",D915&gt;4,D915&lt;=8),122,IF(AND(L910="Mittellos und ambulant",D915&gt;2,D915&lt;=4),151,IF(AND(L910="Mittellos und ambulant",D915&gt;1,D915&lt;=2),170,IF(AND(L910="Mittellos und ambulant",D915&gt;0,D915&lt;=1),208,IF(AND(L910="Mittellos und stationär",D915&gt;8,D915&lt;=1000),62,IF(AND(L910="Mittellos und stationär",D915&gt;4,D915&lt;=8),87,IF(AND(L910="Mittellos und stationär",D915&gt;2,D915&lt;=4),124,IF(AND(L910="Mittellos und stationär",D915&gt;1,D915&lt;=2),129,IF(AND(L910="Mittellos und stationär",D915&gt;0,D915&lt;=1),194,""))))))))))))))))))))),IF(M909="Stufe B",IF(AND(L910="Auswahl treffen",D915&gt;=0,D915&lt;=1000),J909,IF(AND(L910="Vermögend und ambulant",D915&gt;8,D915&lt;=1000),161,IF(AND(L910="Vermögend und ambulant",D915&gt;4,D915&lt;=8),196,IF(AND(L910="Vermögend und ambulant",D915&gt;2,D915&lt;=4),238,IF(AND(L910="Vermögend und ambulant",D915&gt;1,D915&lt;=2),258,IF(AND(L910="Vermögend und ambulant",D915&gt;0,D915&lt;=1),370,IF(AND(L910="Vermögend und stationär",D915&gt;8,D915&lt;=1000),96,IF(AND(L910="Vermögend und stationär",D915&gt;4,D915&lt;=8),113,IF(AND(L910="Vermögend und stationär",D915&gt;2,D915&lt;=4),174,IF(AND(L910="Vermögend und stationär",D915&gt;1,D915&lt;=2),196,IF(AND(L910="Vermögend und stationär",D915&gt;0,D915&lt;=1),249,IF(AND(L910="Mittellos und ambulant",D915&gt;8,D915&lt;=1000),130,IF(AND(L910="Mittellos und ambulant",D915&gt;4,D915&lt;=8),151,IF(AND(L910="Mittellos und ambulant",D915&gt;2,D915&lt;=4),188,IF(AND(L910="Mittellos und ambulant",D915&gt;1,D915&lt;=2),211,IF(AND(L910="Mittellos und ambulant",D915&gt;0,D915&lt;=1),258,IF(AND(L910="Mittellos und stationär",D915&gt;8,D915&lt;=1000),78,IF(AND(L910="Mittellos und stationär",D915&gt;4,D915&lt;=8),107,IF(AND(L910="Mittellos und stationär",D915&gt;2,D915&lt;=4),154,IF(AND(L910="Mittellos und stationär",D915&gt;1,D915&lt;=2),158,IF(AND(L910="Mittellos und stationär",D915&gt;0,D915&lt;=1),241,""))))))))))))))))))))),IF(M909="Stufe C",IF(AND(L910="Auswahl treffen",D915&gt;=0,D915&lt;=1000),J909,IF(AND(L910="Vermögend und ambulant",D915&gt;8,D915&lt;=1000),211,IF(AND(L910="Vermögend und ambulant",D915&gt;4,D915&lt;=8),257,IF(AND(L910="Vermögend und ambulant",D915&gt;2,D915&lt;=4),312,IF(AND(L910="Vermögend und ambulant",D915&gt;1,D915&lt;=2),339,IF(AND(L910="Vermögend und ambulant",D915&gt;0,D915&lt;=1),486,IF(AND(L910="Vermögend und stationär",D915&gt;8,D915&lt;=1000),127,IF(AND(L910="Vermögend und stationär",D915&gt;4,D915&lt;=8),149,IF(AND(L910="Vermögend und stationär",D915&gt;2,D915&lt;=4),229,IF(AND(L910="Vermögend und stationär",D915&gt;1,D915&lt;=2),257,IF(AND(L910="Vermögend und stationär",D915&gt;0,D915&lt;=1),327,IF(AND(L910="Mittellos und ambulant",D915&gt;8,D915&lt;=1000),171,IF(AND(L910="Mittellos und ambulant",D915&gt;4,D915&lt;=8),198,IF(AND(L910="Mittellos und ambulant",D915&gt;2,D915&lt;=4),246,IF(AND(L910="Mittellos und ambulant",D915&gt;1,D915&lt;=2),277,IF(AND(L910="Mittellos und ambulant",D915&gt;0,D915&lt;=1),339,IF(AND(L910="Mittellos und stationär",D915&gt;8,D915&lt;=1000),102,IF(AND(L910="Mittellos und stationär",D915&gt;4,D915&lt;=8),141,IF(AND(L910="Mittellos und stationär",D915&gt;2,D915&lt;=4),202,IF(AND(L910="Mittellos und stationär",D915&gt;1,D915&lt;=2),208,IF(AND(L910="Mittellos und stationär",D915&gt;0,D915&lt;=1),317,""))))))))))))))))))))),"")))*3+(J909*90)</f>
        <v>#NUM!</v>
      </c>
      <c r="M916" s="507" t="str">
        <f>CONCATENATE(K916, K915)</f>
        <v>+Inflat.-P</v>
      </c>
      <c r="N916" s="206"/>
      <c r="O916" s="207"/>
      <c r="P916" s="206" t="s">
        <v>118</v>
      </c>
      <c r="Q916" s="226"/>
      <c r="R916" s="189"/>
      <c r="S916" s="203"/>
      <c r="T916" s="203"/>
      <c r="U916" s="204"/>
      <c r="V916" s="192"/>
      <c r="W916" s="203"/>
      <c r="X916" s="203"/>
      <c r="Y916" s="204"/>
      <c r="Z916" s="192"/>
      <c r="AA916" s="209" t="s">
        <v>118</v>
      </c>
      <c r="AB916" s="209" t="s">
        <v>117</v>
      </c>
      <c r="AC916" s="204" t="s">
        <v>26</v>
      </c>
      <c r="AD916" s="192"/>
      <c r="AE916" s="203"/>
      <c r="AF916" s="203"/>
      <c r="AG916" s="204"/>
      <c r="AH916" s="193"/>
      <c r="AI916" s="203"/>
      <c r="AJ916" s="203"/>
      <c r="AK916" s="375"/>
      <c r="AL916" s="348" t="s">
        <v>150</v>
      </c>
      <c r="AM916" s="354"/>
      <c r="AN916" s="354"/>
      <c r="AO916" s="354">
        <f>IF(SUM(P910:P918)=SUM(AA910:AA918), 0, SUM(P910:P918)-SUM(AA910:AA918))</f>
        <v>0</v>
      </c>
      <c r="AP916" s="354"/>
      <c r="AQ916" s="350">
        <f>AM916+AN916+AO916+AP916</f>
        <v>0</v>
      </c>
      <c r="AR916" s="769"/>
      <c r="AS916" s="769"/>
      <c r="AT916" s="769"/>
      <c r="BM916" s="335"/>
    </row>
    <row r="917" spans="1:65" ht="22.25" customHeight="1">
      <c r="A917" s="181">
        <f t="shared" si="313"/>
        <v>45292</v>
      </c>
      <c r="B917" s="486"/>
      <c r="C917" s="489" t="s">
        <v>158</v>
      </c>
      <c r="D917" s="522" t="e">
        <f>D915+1</f>
        <v>#NUM!</v>
      </c>
      <c r="E917" s="211" t="e">
        <f>DATE(YEAR(E916),MONTH(E916),DAY(E916)+1)</f>
        <v>#NUM!</v>
      </c>
      <c r="F917" s="227" t="e">
        <f t="shared" si="315"/>
        <v>#NUM!</v>
      </c>
      <c r="G917" s="228" t="e">
        <f t="shared" si="316"/>
        <v>#NUM!</v>
      </c>
      <c r="H917" s="227" t="e">
        <f t="shared" si="317"/>
        <v>#NUM!</v>
      </c>
      <c r="I917" s="231">
        <f>IF(J916&lt;13,J916,"")</f>
        <v>3</v>
      </c>
      <c r="J917" s="230">
        <f>J918+3</f>
        <v>9</v>
      </c>
      <c r="K917" s="501" t="str">
        <f t="shared" si="314"/>
        <v/>
      </c>
      <c r="L917" s="471"/>
      <c r="M917" s="473" t="e">
        <f ca="1">SUM(J910-E918)&amp;" Tage"</f>
        <v>#NUM!</v>
      </c>
      <c r="N917" s="216"/>
      <c r="O917" s="188"/>
      <c r="P917" s="188"/>
      <c r="Q917" s="217"/>
      <c r="R917" s="189"/>
      <c r="S917" s="190"/>
      <c r="T917" s="190"/>
      <c r="U917" s="191"/>
      <c r="V917" s="192"/>
      <c r="W917" s="190"/>
      <c r="X917" s="190"/>
      <c r="Y917" s="191"/>
      <c r="Z917" s="192"/>
      <c r="AA917" s="190"/>
      <c r="AB917" s="190"/>
      <c r="AC917" s="191"/>
      <c r="AD917" s="192"/>
      <c r="AE917" s="190"/>
      <c r="AF917" s="190"/>
      <c r="AG917" s="191"/>
      <c r="AH917" s="193"/>
      <c r="AI917" s="190"/>
      <c r="AJ917" s="190"/>
      <c r="AK917" s="374"/>
      <c r="AL917" s="348"/>
      <c r="AM917" s="354"/>
      <c r="AN917" s="354"/>
      <c r="AO917" s="354"/>
      <c r="AP917" s="354"/>
      <c r="AQ917" s="350"/>
      <c r="AR917" s="769"/>
      <c r="AS917" s="769"/>
      <c r="AT917" s="769"/>
      <c r="BM917" s="335"/>
    </row>
    <row r="918" spans="1:65" ht="22.25" customHeight="1">
      <c r="A918" s="181">
        <f t="shared" si="313"/>
        <v>45292</v>
      </c>
      <c r="B918" s="485"/>
      <c r="C918" s="490"/>
      <c r="D918" s="521"/>
      <c r="E918" s="218" t="e">
        <f>DATE(YEAR(E917),MONTH(E917)+3,DAY(E917)-1)</f>
        <v>#NUM!</v>
      </c>
      <c r="F918" s="227" t="e">
        <f t="shared" si="315"/>
        <v>#NUM!</v>
      </c>
      <c r="G918" s="228" t="e">
        <f t="shared" si="316"/>
        <v>#NUM!</v>
      </c>
      <c r="H918" s="227" t="e">
        <f t="shared" si="317"/>
        <v>#NUM!</v>
      </c>
      <c r="I918" s="231">
        <f>IF(J915&lt;13,J915,"")</f>
        <v>0</v>
      </c>
      <c r="J918" s="230">
        <f>J916+3</f>
        <v>6</v>
      </c>
      <c r="K918" s="506" t="str">
        <f t="shared" si="314"/>
        <v>+Inflat.-P</v>
      </c>
      <c r="L918" s="508" t="e">
        <f>IF(M909="Stufe A",IF(AND(L910="Auswahl treffen",D917&gt;=0,D917&lt;=1000),J909,IF(AND(L910="Vermögend und ambulant",D917&gt;8,D917&lt;=1000),130,IF(AND(L910="Vermögend und ambulant",D917&gt;4,D917&lt;=8),158,IF(AND(L910="Vermögend und ambulant",D917&gt;2,D917&lt;=4),192,IF(AND(L910="Vermögend und ambulant",D917&gt;1,D917&lt;=2),208,IF(AND(L910="Vermögend und ambulant",D917&gt;0,D917&lt;=1),298,IF(AND(L910="Vermögend und stationär",D917&gt;8,D917&lt;=1000),78,IF(AND(L910="Vermögend und stationär",D917&gt;4,D917&lt;=8),91,IF(AND(L910="Vermögend und stationär",D917&gt;2,D917&lt;=4),140,IF(AND(L910="Vermögend und stationär",D917&gt;1,D917&lt;=2),158,IF(AND(L910="Vermögend und stationär",D917&gt;0,D917&lt;=1),200,IF(AND(L910="Mittellos und ambulant",D917&gt;8,D917&lt;=1000),105,IF(AND(L910="Mittellos und ambulant",D917&gt;4,D917&lt;=8),122,IF(AND(L910="Mittellos und ambulant",D917&gt;2,D917&lt;=4),151,IF(AND(L910="Mittellos und ambulant",D917&gt;1,D917&lt;=2),170,IF(AND(L910="Mittellos und ambulant",D917&gt;0,D917&lt;=1),208,IF(AND(L910="Mittellos und stationär",D917&gt;8,D917&lt;=1000),62,IF(AND(L910="Mittellos und stationär",D917&gt;4,D917&lt;=8),87,IF(AND(L910="Mittellos und stationär",D917&gt;2,D917&lt;=4),124,IF(AND(L910="Mittellos und stationär",D917&gt;1,D917&lt;=2),129,IF(AND(L910="Mittellos und stationär",D917&gt;0,D917&lt;=1),194,""))))))))))))))))))))),IF(M909="Stufe B",IF(AND(L910="Auswahl treffen",D917&gt;=0,D917&lt;=1000),J909,IF(AND(L910="Vermögend und ambulant",D917&gt;8,D917&lt;=1000),161,IF(AND(L910="Vermögend und ambulant",D917&gt;4,D917&lt;=8),196,IF(AND(L910="Vermögend und ambulant",D917&gt;2,D917&lt;=4),238,IF(AND(L910="Vermögend und ambulant",D917&gt;1,D917&lt;=2),258,IF(AND(L910="Vermögend und ambulant",D917&gt;0,D917&lt;=1),370,IF(AND(L910="Vermögend und stationär",D917&gt;8,D917&lt;=1000),96,IF(AND(L910="Vermögend und stationär",D917&gt;4,D917&lt;=8),113,IF(AND(L910="Vermögend und stationär",D917&gt;2,D917&lt;=4),174,IF(AND(L910="Vermögend und stationär",D917&gt;1,D917&lt;=2),196,IF(AND(L910="Vermögend und stationär",D917&gt;0,D917&lt;=1),249,IF(AND(L910="Mittellos und ambulant",D917&gt;8,D917&lt;=1000),130,IF(AND(L910="Mittellos und ambulant",D917&gt;4,D917&lt;=8),151,IF(AND(L910="Mittellos und ambulant",D917&gt;2,D917&lt;=4),188,IF(AND(L910="Mittellos und ambulant",D917&gt;1,D917&lt;=2),211,IF(AND(L910="Mittellos und ambulant",D917&gt;0,D917&lt;=1),258,IF(AND(L910="Mittellos und stationär",D917&gt;8,D917&lt;=1000),78,IF(AND(L910="Mittellos und stationär",D917&gt;4,D917&lt;=8),107,IF(AND(L910="Mittellos und stationär",D917&gt;2,D917&lt;=4),154,IF(AND(L910="Mittellos und stationär",D917&gt;1,D917&lt;=2),158,IF(AND(L910="Mittellos und stationär",D917&gt;0,D917&lt;=1),241,""))))))))))))))))))))),IF(M909="Stufe C",IF(AND(L910="Auswahl treffen",D917&gt;=0,D917&lt;=1000),J909,IF(AND(L910="Vermögend und ambulant",D917&gt;8,D917&lt;=1000),211,IF(AND(L910="Vermögend und ambulant",D917&gt;4,D917&lt;=8),257,IF(AND(L910="Vermögend und ambulant",D917&gt;2,D917&lt;=4),312,IF(AND(L910="Vermögend und ambulant",D917&gt;1,D917&lt;=2),339,IF(AND(L910="Vermögend und ambulant",D917&gt;0,D917&lt;=1),486,IF(AND(L910="Vermögend und stationär",D917&gt;8,D917&lt;=1000),127,IF(AND(L910="Vermögend und stationär",D917&gt;4,D917&lt;=8),149,IF(AND(L910="Vermögend und stationär",D917&gt;2,D917&lt;=4),229,IF(AND(L910="Vermögend und stationär",D917&gt;1,D917&lt;=2),257,IF(AND(L910="Vermögend und stationär",D917&gt;0,D917&lt;=1),327,IF(AND(L910="Mittellos und ambulant",D917&gt;8,D917&lt;=1000),171,IF(AND(L910="Mittellos und ambulant",D917&gt;4,D917&lt;=8),198,IF(AND(L910="Mittellos und ambulant",D917&gt;2,D917&lt;=4),246,IF(AND(L910="Mittellos und ambulant",D917&gt;1,D917&lt;=2),277,IF(AND(L910="Mittellos und ambulant",D917&gt;0,D917&lt;=1),339,IF(AND(L910="Mittellos und stationär",D917&gt;8,D917&lt;=1000),102,IF(AND(L910="Mittellos und stationär",D917&gt;4,D917&lt;=8),141,IF(AND(L910="Mittellos und stationär",D917&gt;2,D917&lt;=4),202,IF(AND(L910="Mittellos und stationär",D917&gt;1,D917&lt;=2),208,IF(AND(L910="Mittellos und stationär",D917&gt;0,D917&lt;=1),317,""))))))))))))))))))))),"")))*3+(J909*90)</f>
        <v>#NUM!</v>
      </c>
      <c r="M918" s="507" t="str">
        <f>CONCATENATE(K918, K917)</f>
        <v>+Inflat.-P</v>
      </c>
      <c r="N918" s="216"/>
      <c r="O918" s="188"/>
      <c r="P918" s="188"/>
      <c r="Q918" s="217" t="s">
        <v>118</v>
      </c>
      <c r="R918" s="189"/>
      <c r="S918" s="190"/>
      <c r="T918" s="190"/>
      <c r="U918" s="191"/>
      <c r="V918" s="192"/>
      <c r="W918" s="190"/>
      <c r="X918" s="190"/>
      <c r="Y918" s="191"/>
      <c r="Z918" s="192"/>
      <c r="AA918" s="190"/>
      <c r="AB918" s="190"/>
      <c r="AC918" s="191"/>
      <c r="AD918" s="192"/>
      <c r="AE918" s="190" t="s">
        <v>118</v>
      </c>
      <c r="AF918" s="190" t="s">
        <v>117</v>
      </c>
      <c r="AG918" s="191" t="s">
        <v>26</v>
      </c>
      <c r="AH918" s="193"/>
      <c r="AI918" s="190" t="s">
        <v>118</v>
      </c>
      <c r="AJ918" s="190" t="s">
        <v>117</v>
      </c>
      <c r="AK918" s="374" t="s">
        <v>26</v>
      </c>
      <c r="AL918" s="348" t="s">
        <v>151</v>
      </c>
      <c r="AM918" s="354"/>
      <c r="AN918" s="354"/>
      <c r="AO918" s="354"/>
      <c r="AP918" s="354">
        <f>IF(SUM(Q910:Q918)=SUM(AE910:AE918,AI910:AI918), 0, SUM(Q910:Q918)-SUM(AE910:AE918,AI910:AI918))</f>
        <v>0</v>
      </c>
      <c r="AQ918" s="350">
        <f>AM918+AN918+AO918+AP918</f>
        <v>0</v>
      </c>
      <c r="AR918" s="769"/>
      <c r="AS918" s="769"/>
      <c r="AT918" s="769"/>
      <c r="BM918" s="335"/>
    </row>
    <row r="919" spans="1:65" ht="22" customHeight="1">
      <c r="A919" s="181">
        <f t="shared" si="313"/>
        <v>45292</v>
      </c>
      <c r="B919" s="232" t="s">
        <v>74</v>
      </c>
      <c r="C919" s="233" t="s">
        <v>75</v>
      </c>
      <c r="D919" s="234" t="s">
        <v>76</v>
      </c>
      <c r="E919" s="235" t="s">
        <v>11</v>
      </c>
      <c r="F919" s="235" t="s">
        <v>4</v>
      </c>
      <c r="G919" s="235" t="s">
        <v>5</v>
      </c>
      <c r="H919" s="235" t="s">
        <v>6</v>
      </c>
      <c r="I919" s="236" t="s">
        <v>77</v>
      </c>
      <c r="J919" s="306"/>
      <c r="K919" s="501" t="str">
        <f t="shared" si="314"/>
        <v/>
      </c>
      <c r="L919" s="306" t="str">
        <f>IFERROR(VLOOKUP(B920,'Aktuelle Einnahmen'!A2:J104,10,0),"")</f>
        <v/>
      </c>
      <c r="M919" s="510" t="str">
        <f>M909</f>
        <v>Stufe C</v>
      </c>
      <c r="N919" s="237"/>
      <c r="O919" s="238"/>
      <c r="P919" s="238"/>
      <c r="Q919" s="239"/>
      <c r="R919" s="240"/>
      <c r="S919" s="241"/>
      <c r="T919" s="241"/>
      <c r="U919" s="242"/>
      <c r="V919" s="243"/>
      <c r="W919" s="241"/>
      <c r="X919" s="241"/>
      <c r="Y919" s="242"/>
      <c r="Z919" s="243"/>
      <c r="AA919" s="241"/>
      <c r="AB919" s="241"/>
      <c r="AC919" s="242"/>
      <c r="AD919" s="243"/>
      <c r="AE919" s="241"/>
      <c r="AF919" s="241"/>
      <c r="AG919" s="242"/>
      <c r="AH919" s="240"/>
      <c r="AI919" s="241"/>
      <c r="AJ919" s="241"/>
      <c r="AK919" s="377"/>
      <c r="AL919" s="347"/>
      <c r="AM919" s="353"/>
      <c r="AN919" s="353"/>
      <c r="AO919" s="353"/>
      <c r="AP919" s="353"/>
      <c r="AQ919" s="349"/>
      <c r="AR919" s="768"/>
      <c r="AS919" s="768"/>
      <c r="AT919" s="768"/>
      <c r="BM919" s="335"/>
    </row>
    <row r="920" spans="1:65" ht="23" customHeight="1">
      <c r="A920" s="181">
        <f t="shared" si="313"/>
        <v>45292</v>
      </c>
      <c r="B920" s="182">
        <v>92</v>
      </c>
      <c r="C920" s="245">
        <f>IFERROR(VLOOKUP($B920,'Aktuelle Einnahmen'!A2:G104,3,0),"")</f>
        <v>0</v>
      </c>
      <c r="D920" s="246">
        <f>IFERROR(VLOOKUP($B920,'Aktuelle Einnahmen'!A2:G104,2,0),"")</f>
        <v>0</v>
      </c>
      <c r="E920" s="247">
        <f>IFERROR(VLOOKUP($B920,'Aktuelle Einnahmen'!A2:G104,4,0),"")</f>
        <v>0</v>
      </c>
      <c r="F920" s="94">
        <f>IFERROR(VLOOKUP($B920,'Aktuelle Einnahmen'!A2:G104,5,0),"")</f>
        <v>0</v>
      </c>
      <c r="G920" s="94">
        <f>IFERROR(VLOOKUP($B920,'Aktuelle Einnahmen'!A2:G104,6,0),"")</f>
        <v>0</v>
      </c>
      <c r="H920" s="94">
        <f>IFERROR(VLOOKUP($B920,'Aktuelle Einnahmen'!A2:G104,7,0),"")</f>
        <v>0</v>
      </c>
      <c r="I920" s="186" t="e">
        <f>DATE(H920,G920,F920)</f>
        <v>#NUM!</v>
      </c>
      <c r="J920" s="472">
        <f ca="1">J910</f>
        <v>45475</v>
      </c>
      <c r="K920" s="506" t="str">
        <f t="shared" si="314"/>
        <v>+Inflat.-P</v>
      </c>
      <c r="L920" s="1262" t="str">
        <f>IFERROR(VLOOKUP(B920,'Aktuelle Einnahmen'!A22:I124,9,0),"")</f>
        <v>Auswahl treffen</v>
      </c>
      <c r="M920" s="1263"/>
      <c r="N920" s="261"/>
      <c r="O920" s="261"/>
      <c r="P920" s="261"/>
      <c r="Q920" s="261"/>
      <c r="R920" s="189"/>
      <c r="S920" s="190"/>
      <c r="T920" s="190"/>
      <c r="U920" s="191"/>
      <c r="V920" s="192"/>
      <c r="W920" s="190"/>
      <c r="X920" s="190"/>
      <c r="Y920" s="191"/>
      <c r="Z920" s="192"/>
      <c r="AA920" s="190"/>
      <c r="AB920" s="190"/>
      <c r="AC920" s="191"/>
      <c r="AD920" s="192"/>
      <c r="AE920" s="190"/>
      <c r="AF920" s="190"/>
      <c r="AG920" s="191"/>
      <c r="AH920" s="193"/>
      <c r="AI920" s="190"/>
      <c r="AJ920" s="190"/>
      <c r="AK920" s="374"/>
      <c r="AL920" s="348"/>
      <c r="AM920" s="354"/>
      <c r="AN920" s="354"/>
      <c r="AO920" s="354"/>
      <c r="AP920" s="354"/>
      <c r="AQ920" s="350"/>
      <c r="AR920" s="769"/>
      <c r="AS920" s="769"/>
      <c r="AT920" s="769"/>
      <c r="BM920" s="335"/>
    </row>
    <row r="921" spans="1:65" ht="22.25" customHeight="1">
      <c r="A921" s="181">
        <f t="shared" si="313"/>
        <v>45292</v>
      </c>
      <c r="B921" s="484" t="e">
        <f>DAY(I920)</f>
        <v>#NUM!</v>
      </c>
      <c r="C921" s="489" t="s">
        <v>158</v>
      </c>
      <c r="D921" s="520" t="e">
        <f>(I921*4)+J921/3+1</f>
        <v>#NUM!</v>
      </c>
      <c r="E921" s="194" t="e">
        <f>J923+1</f>
        <v>#NUM!</v>
      </c>
      <c r="F921" s="195" t="e">
        <f t="shared" ref="F921:F928" si="318">DAY(E921)</f>
        <v>#NUM!</v>
      </c>
      <c r="G921" s="196" t="e">
        <f t="shared" ref="G921:G928" si="319">MONTH(E921)</f>
        <v>#NUM!</v>
      </c>
      <c r="H921" s="195" t="e">
        <f t="shared" ref="H921:H928" si="320">YEAR(E921)</f>
        <v>#NUM!</v>
      </c>
      <c r="I921" s="197" t="e">
        <f>H921-(H920+2000)</f>
        <v>#NUM!</v>
      </c>
      <c r="J921" s="198" t="e">
        <f>G921-G920</f>
        <v>#NUM!</v>
      </c>
      <c r="K921" s="506" t="str">
        <f>L919</f>
        <v/>
      </c>
      <c r="L921" s="469"/>
      <c r="M921" s="473" t="e">
        <f ca="1">SUM(J920-E922)&amp;" Tage"</f>
        <v>#NUM!</v>
      </c>
      <c r="N921" s="206"/>
      <c r="O921" s="201"/>
      <c r="P921" s="201"/>
      <c r="Q921" s="202"/>
      <c r="R921" s="189"/>
      <c r="S921" s="203"/>
      <c r="T921" s="203"/>
      <c r="U921" s="204"/>
      <c r="V921" s="192"/>
      <c r="W921" s="203"/>
      <c r="X921" s="203"/>
      <c r="Y921" s="204"/>
      <c r="Z921" s="192"/>
      <c r="AA921" s="203"/>
      <c r="AB921" s="203"/>
      <c r="AC921" s="204"/>
      <c r="AD921" s="192"/>
      <c r="AE921" s="203"/>
      <c r="AF921" s="203"/>
      <c r="AG921" s="204"/>
      <c r="AH921" s="193"/>
      <c r="AI921" s="203"/>
      <c r="AJ921" s="203"/>
      <c r="AK921" s="375"/>
      <c r="AL921" s="348"/>
      <c r="AM921" s="354"/>
      <c r="AN921" s="354"/>
      <c r="AO921" s="354"/>
      <c r="AP921" s="354"/>
      <c r="AQ921" s="350"/>
      <c r="AR921" s="769"/>
      <c r="AS921" s="769"/>
      <c r="AT921" s="769"/>
      <c r="BM921" s="335"/>
    </row>
    <row r="922" spans="1:65" ht="22.25" customHeight="1">
      <c r="A922" s="181">
        <f t="shared" si="313"/>
        <v>45292</v>
      </c>
      <c r="B922" s="485"/>
      <c r="C922" s="490"/>
      <c r="D922" s="521"/>
      <c r="E922" s="194" t="e">
        <f>DATE(YEAR(E921),MONTH(E921)+3,DAY(E921)-1)</f>
        <v>#NUM!</v>
      </c>
      <c r="F922" s="195" t="e">
        <f t="shared" si="318"/>
        <v>#NUM!</v>
      </c>
      <c r="G922" s="196" t="e">
        <f t="shared" si="319"/>
        <v>#NUM!</v>
      </c>
      <c r="H922" s="195" t="e">
        <f t="shared" si="320"/>
        <v>#NUM!</v>
      </c>
      <c r="I922" s="244">
        <v>-1</v>
      </c>
      <c r="J922" s="198" t="e">
        <f>F921-F920</f>
        <v>#NUM!</v>
      </c>
      <c r="K922" s="501" t="str">
        <f t="shared" si="314"/>
        <v>+Inflat.-P</v>
      </c>
      <c r="L922" s="511" t="e">
        <f>IF(M919="Stufe A",IF(AND(L920="Auswahl treffen",D921&gt;=0,D921&lt;=1000),J919,IF(AND(L920="Vermögend und ambulant",D921&gt;8,D921&lt;=1000),130,IF(AND(L920="Vermögend und ambulant",D921&gt;4,D921&lt;=8),158,IF(AND(L920="Vermögend und ambulant",D921&gt;2,D921&lt;=4),192,IF(AND(L920="Vermögend und ambulant",D921&gt;1,D921&lt;=2),208,IF(AND(L920="Vermögend und ambulant",D921&gt;0,D921&lt;=1),298,IF(AND(L920="Vermögend und stationär",D921&gt;8,D921&lt;=1000),78,IF(AND(L920="Vermögend und stationär",D921&gt;4,D921&lt;=8),91,IF(AND(L920="Vermögend und stationär",D921&gt;2,D921&lt;=4),140,IF(AND(L920="Vermögend und stationär",D921&gt;1,D921&lt;=2),158,IF(AND(L920="Vermögend und stationär",D921&gt;0,D921&lt;=1),200,IF(AND(L920="Mittellos und ambulant",D921&gt;8,D921&lt;=1000),105,IF(AND(L920="Mittellos und ambulant",D921&gt;4,D921&lt;=8),122,IF(AND(L920="Mittellos und ambulant",D921&gt;2,D921&lt;=4),151,IF(AND(L920="Mittellos und ambulant",D921&gt;1,D921&lt;=2),170,IF(AND(L920="Mittellos und ambulant",D921&gt;0,D921&lt;=1),208,IF(AND(L920="Mittellos und stationär",D921&gt;8,D921&lt;=1000),62,IF(AND(L920="Mittellos und stationär",D921&gt;4,D921&lt;=8),87,IF(AND(L920="Mittellos und stationär",D921&gt;2,D921&lt;=4),124,IF(AND(L920="Mittellos und stationär",D921&gt;1,D921&lt;=2),129,IF(AND(L920="Mittellos und stationär",D921&gt;0,D921&lt;=1),194,""))))))))))))))))))))),IF(M919="Stufe B",IF(AND(L920="Auswahl treffen",D921&gt;=0,D921&lt;=1000),J919,IF(AND(L920="Vermögend und ambulant",D921&gt;8,D921&lt;=1000),161,IF(AND(L920="Vermögend und ambulant",D921&gt;4,D921&lt;=8),196,IF(AND(L920="Vermögend und ambulant",D921&gt;2,D921&lt;=4),238,IF(AND(L920="Vermögend und ambulant",D921&gt;1,D921&lt;=2),258,IF(AND(L920="Vermögend und ambulant",D921&gt;0,D921&lt;=1),370,IF(AND(L920="Vermögend und stationär",D921&gt;8,D921&lt;=1000),96,IF(AND(L920="Vermögend und stationär",D921&gt;4,D921&lt;=8),113,IF(AND(L920="Vermögend und stationär",D921&gt;2,D921&lt;=4),174,IF(AND(L920="Vermögend und stationär",D921&gt;1,D921&lt;=2),196,IF(AND(L920="Vermögend und stationär",D921&gt;0,D921&lt;=1),249,IF(AND(L920="Mittellos und ambulant",D921&gt;8,D921&lt;=1000),130,IF(AND(L920="Mittellos und ambulant",D921&gt;4,D921&lt;=8),151,IF(AND(L920="Mittellos und ambulant",D921&gt;2,D921&lt;=4),188,IF(AND(L920="Mittellos und ambulant",D921&gt;1,D921&lt;=2),211,IF(AND(L920="Mittellos und ambulant",D921&gt;0,D921&lt;=1),258,IF(AND(L920="Mittellos und stationär",D921&gt;8,D921&lt;=1000),78,IF(AND(L920="Mittellos und stationär",D921&gt;4,D921&lt;=8),107,IF(AND(L920="Mittellos und stationär",D921&gt;2,D921&lt;=4),154,IF(AND(L920="Mittellos und stationär",D921&gt;1,D921&lt;=2),158,IF(AND(L920="Mittellos und stationär",D921&gt;0,D921&lt;=1),241,""))))))))))))))))))))),IF(M919="Stufe C",IF(AND(L920="Auswahl treffen",D921&gt;=0,D921&lt;=1000),J919,IF(AND(L920="Vermögend und ambulant",D921&gt;8,D921&lt;=1000),211,IF(AND(L920="Vermögend und ambulant",D921&gt;4,D921&lt;=8),257,IF(AND(L920="Vermögend und ambulant",D921&gt;2,D921&lt;=4),312,IF(AND(L920="Vermögend und ambulant",D921&gt;1,D921&lt;=2),339,IF(AND(L920="Vermögend und ambulant",D921&gt;0,D921&lt;=1),486,IF(AND(L920="Vermögend und stationär",D921&gt;8,D921&lt;=1000),127,IF(AND(L920="Vermögend und stationär",D921&gt;4,D921&lt;=8),149,IF(AND(L920="Vermögend und stationär",D921&gt;2,D921&lt;=4),229,IF(AND(L920="Vermögend und stationär",D921&gt;1,D921&lt;=2),257,IF(AND(L920="Vermögend und stationär",D921&gt;0,D921&lt;=1),327,IF(AND(L920="Mittellos und ambulant",D921&gt;8,D921&lt;=1000),171,IF(AND(L920="Mittellos und ambulant",D921&gt;4,D921&lt;=8),198,IF(AND(L920="Mittellos und ambulant",D921&gt;2,D921&lt;=4),246,IF(AND(L920="Mittellos und ambulant",D921&gt;1,D921&lt;=2),277,IF(AND(L920="Mittellos und ambulant",D921&gt;0,D921&lt;=1),339,IF(AND(L920="Mittellos und stationär",D921&gt;8,D921&lt;=1000),102,IF(AND(L920="Mittellos und stationär",D921&gt;4,D921&lt;=8),141,IF(AND(L920="Mittellos und stationär",D921&gt;2,D921&lt;=4),202,IF(AND(L920="Mittellos und stationär",D921&gt;1,D921&lt;=2),208,IF(AND(L920="Mittellos und stationär",D921&gt;0,D921&lt;=1),317,""))))))))))))))))))))),"")))*3+(J919*90)</f>
        <v>#NUM!</v>
      </c>
      <c r="M922" s="507" t="str">
        <f>CONCATENATE(K922, K921)</f>
        <v>+Inflat.-P</v>
      </c>
      <c r="N922" s="206" t="s">
        <v>118</v>
      </c>
      <c r="O922" s="207"/>
      <c r="P922" s="207"/>
      <c r="Q922" s="208"/>
      <c r="R922" s="187"/>
      <c r="S922" s="209" t="s">
        <v>118</v>
      </c>
      <c r="T922" s="201" t="s">
        <v>117</v>
      </c>
      <c r="U922" s="210" t="s">
        <v>26</v>
      </c>
      <c r="V922" s="192"/>
      <c r="W922" s="203"/>
      <c r="X922" s="203"/>
      <c r="Y922" s="210"/>
      <c r="Z922" s="192"/>
      <c r="AA922" s="203"/>
      <c r="AB922" s="203"/>
      <c r="AC922" s="210"/>
      <c r="AD922" s="192"/>
      <c r="AE922" s="203"/>
      <c r="AF922" s="203"/>
      <c r="AG922" s="210"/>
      <c r="AH922" s="193"/>
      <c r="AI922" s="203"/>
      <c r="AJ922" s="203"/>
      <c r="AK922" s="376"/>
      <c r="AL922" s="348" t="s">
        <v>148</v>
      </c>
      <c r="AM922" s="354">
        <f>IF(SUM(N920:N928)=SUM(S920:S928), 0, SUM(N920:N928)-SUM(S920:S928))</f>
        <v>0</v>
      </c>
      <c r="AN922" s="354"/>
      <c r="AO922" s="354"/>
      <c r="AP922" s="354"/>
      <c r="AQ922" s="350">
        <f>AM922+AN922+AO922+AP922</f>
        <v>0</v>
      </c>
      <c r="AR922" s="769"/>
      <c r="AS922" s="769"/>
      <c r="AT922" s="769"/>
      <c r="BM922" s="335"/>
    </row>
    <row r="923" spans="1:65" ht="22.25" customHeight="1">
      <c r="A923" s="181">
        <f t="shared" si="313"/>
        <v>45292</v>
      </c>
      <c r="B923" s="484" t="e">
        <f>MONTH(I920)</f>
        <v>#NUM!</v>
      </c>
      <c r="C923" s="489" t="s">
        <v>158</v>
      </c>
      <c r="D923" s="522" t="e">
        <f>D921+1</f>
        <v>#NUM!</v>
      </c>
      <c r="E923" s="211" t="e">
        <f>DATE(YEAR(E922),MONTH(E922),DAY(E922)+1)</f>
        <v>#NUM!</v>
      </c>
      <c r="F923" s="212" t="e">
        <f t="shared" si="318"/>
        <v>#NUM!</v>
      </c>
      <c r="G923" s="213" t="e">
        <f t="shared" si="319"/>
        <v>#NUM!</v>
      </c>
      <c r="H923" s="212" t="e">
        <f t="shared" si="320"/>
        <v>#NUM!</v>
      </c>
      <c r="I923" s="214" t="str">
        <f>IF(D920&lt;&gt;0,"-1T","")</f>
        <v/>
      </c>
      <c r="J923" s="215" t="e">
        <f>DATE($B925,I924,$B921)</f>
        <v>#NUM!</v>
      </c>
      <c r="K923" s="506" t="str">
        <f t="shared" si="314"/>
        <v/>
      </c>
      <c r="L923" s="470"/>
      <c r="M923" s="473" t="e">
        <f ca="1">SUM(J920-E924)&amp;" Tage"</f>
        <v>#NUM!</v>
      </c>
      <c r="N923" s="216"/>
      <c r="O923" s="217"/>
      <c r="P923" s="188"/>
      <c r="Q923" s="217"/>
      <c r="R923" s="189"/>
      <c r="S923" s="190"/>
      <c r="T923" s="190"/>
      <c r="U923" s="191"/>
      <c r="V923" s="192"/>
      <c r="W923" s="190"/>
      <c r="X923" s="190"/>
      <c r="Y923" s="191"/>
      <c r="Z923" s="192"/>
      <c r="AA923" s="190"/>
      <c r="AB923" s="190"/>
      <c r="AC923" s="191"/>
      <c r="AD923" s="192"/>
      <c r="AE923" s="190"/>
      <c r="AF923" s="190"/>
      <c r="AG923" s="191"/>
      <c r="AH923" s="193"/>
      <c r="AI923" s="190"/>
      <c r="AJ923" s="190"/>
      <c r="AK923" s="374"/>
      <c r="AL923" s="348"/>
      <c r="AM923" s="354"/>
      <c r="AN923" s="354"/>
      <c r="AO923" s="354"/>
      <c r="AP923" s="354"/>
      <c r="AQ923" s="350"/>
      <c r="AR923" s="769"/>
      <c r="AS923" s="769"/>
      <c r="AT923" s="769"/>
      <c r="BM923" s="335"/>
    </row>
    <row r="924" spans="1:65" ht="22.25" customHeight="1">
      <c r="A924" s="181">
        <f t="shared" si="313"/>
        <v>45292</v>
      </c>
      <c r="B924" s="485"/>
      <c r="C924" s="490"/>
      <c r="D924" s="521"/>
      <c r="E924" s="218" t="e">
        <f>DATE(YEAR(E923),MONTH(E923)+3,DAY(E923)-1)</f>
        <v>#NUM!</v>
      </c>
      <c r="F924" s="212" t="e">
        <f t="shared" si="318"/>
        <v>#NUM!</v>
      </c>
      <c r="G924" s="213" t="e">
        <f t="shared" si="319"/>
        <v>#NUM!</v>
      </c>
      <c r="H924" s="212" t="e">
        <f t="shared" si="320"/>
        <v>#NUM!</v>
      </c>
      <c r="I924" s="219">
        <f>MAX(I925:I928)</f>
        <v>9</v>
      </c>
      <c r="J924" s="220" t="e">
        <f>DATE(YEAR(J923)+1,MONTH(J923),DAY(J923))</f>
        <v>#NUM!</v>
      </c>
      <c r="K924" s="501" t="str">
        <f t="shared" si="314"/>
        <v>+Inflat.-P</v>
      </c>
      <c r="L924" s="508" t="e">
        <f>IF(M919="Stufe A",IF(AND(L920="Auswahl treffen",D923&gt;=0,D923&lt;=1000),J919,IF(AND(L920="Vermögend und ambulant",D923&gt;8,D923&lt;=1000),130,IF(AND(L920="Vermögend und ambulant",D923&gt;4,D923&lt;=8),158,IF(AND(L920="Vermögend und ambulant",D923&gt;2,D923&lt;=4),192,IF(AND(L920="Vermögend und ambulant",D923&gt;1,D923&lt;=2),208,IF(AND(L920="Vermögend und ambulant",D923&gt;0,D923&lt;=1),298,IF(AND(L920="Vermögend und stationär",D923&gt;8,D923&lt;=1000),78,IF(AND(L920="Vermögend und stationär",D923&gt;4,D923&lt;=8),91,IF(AND(L920="Vermögend und stationär",D923&gt;2,D923&lt;=4),140,IF(AND(L920="Vermögend und stationär",D923&gt;1,D923&lt;=2),158,IF(AND(L920="Vermögend und stationär",D923&gt;0,D923&lt;=1),200,IF(AND(L920="Mittellos und ambulant",D923&gt;8,D923&lt;=1000),105,IF(AND(L920="Mittellos und ambulant",D923&gt;4,D923&lt;=8),122,IF(AND(L920="Mittellos und ambulant",D923&gt;2,D923&lt;=4),151,IF(AND(L920="Mittellos und ambulant",D923&gt;1,D923&lt;=2),170,IF(AND(L920="Mittellos und ambulant",D923&gt;0,D923&lt;=1),208,IF(AND(L920="Mittellos und stationär",D923&gt;8,D923&lt;=1000),62,IF(AND(L920="Mittellos und stationär",D923&gt;4,D923&lt;=8),87,IF(AND(L920="Mittellos und stationär",D923&gt;2,D923&lt;=4),124,IF(AND(L920="Mittellos und stationär",D923&gt;1,D923&lt;=2),129,IF(AND(L920="Mittellos und stationär",D923&gt;0,D923&lt;=1),194,""))))))))))))))))))))),IF(M919="Stufe B",IF(AND(L920="Auswahl treffen",D923&gt;=0,D923&lt;=1000),J919,IF(AND(L920="Vermögend und ambulant",D923&gt;8,D923&lt;=1000),161,IF(AND(L920="Vermögend und ambulant",D923&gt;4,D923&lt;=8),196,IF(AND(L920="Vermögend und ambulant",D923&gt;2,D923&lt;=4),238,IF(AND(L920="Vermögend und ambulant",D923&gt;1,D923&lt;=2),258,IF(AND(L920="Vermögend und ambulant",D923&gt;0,D923&lt;=1),370,IF(AND(L920="Vermögend und stationär",D923&gt;8,D923&lt;=1000),96,IF(AND(L920="Vermögend und stationär",D923&gt;4,D923&lt;=8),113,IF(AND(L920="Vermögend und stationär",D923&gt;2,D923&lt;=4),174,IF(AND(L920="Vermögend und stationär",D923&gt;1,D923&lt;=2),196,IF(AND(L920="Vermögend und stationär",D923&gt;0,D923&lt;=1),249,IF(AND(L920="Mittellos und ambulant",D923&gt;8,D923&lt;=1000),130,IF(AND(L920="Mittellos und ambulant",D923&gt;4,D923&lt;=8),151,IF(AND(L920="Mittellos und ambulant",D923&gt;2,D923&lt;=4),188,IF(AND(L920="Mittellos und ambulant",D923&gt;1,D923&lt;=2),211,IF(AND(L920="Mittellos und ambulant",D923&gt;0,D923&lt;=1),258,IF(AND(L920="Mittellos und stationär",D923&gt;8,D923&lt;=1000),78,IF(AND(L920="Mittellos und stationär",D923&gt;4,D923&lt;=8),107,IF(AND(L920="Mittellos und stationär",D923&gt;2,D923&lt;=4),154,IF(AND(L920="Mittellos und stationär",D923&gt;1,D923&lt;=2),158,IF(AND(L920="Mittellos und stationär",D923&gt;0,D923&lt;=1),241,""))))))))))))))))))))),IF(M919="Stufe C",IF(AND(L920="Auswahl treffen",D923&gt;=0,D923&lt;=1000),J919,IF(AND(L920="Vermögend und ambulant",D923&gt;8,D923&lt;=1000),211,IF(AND(L920="Vermögend und ambulant",D923&gt;4,D923&lt;=8),257,IF(AND(L920="Vermögend und ambulant",D923&gt;2,D923&lt;=4),312,IF(AND(L920="Vermögend und ambulant",D923&gt;1,D923&lt;=2),339,IF(AND(L920="Vermögend und ambulant",D923&gt;0,D923&lt;=1),486,IF(AND(L920="Vermögend und stationär",D923&gt;8,D923&lt;=1000),127,IF(AND(L920="Vermögend und stationär",D923&gt;4,D923&lt;=8),149,IF(AND(L920="Vermögend und stationär",D923&gt;2,D923&lt;=4),229,IF(AND(L920="Vermögend und stationär",D923&gt;1,D923&lt;=2),257,IF(AND(L920="Vermögend und stationär",D923&gt;0,D923&lt;=1),327,IF(AND(L920="Mittellos und ambulant",D923&gt;8,D923&lt;=1000),171,IF(AND(L920="Mittellos und ambulant",D923&gt;4,D923&lt;=8),198,IF(AND(L920="Mittellos und ambulant",D923&gt;2,D923&lt;=4),246,IF(AND(L920="Mittellos und ambulant",D923&gt;1,D923&lt;=2),277,IF(AND(L920="Mittellos und ambulant",D923&gt;0,D923&lt;=1),339,IF(AND(L920="Mittellos und stationär",D923&gt;8,D923&lt;=1000),102,IF(AND(L920="Mittellos und stationär",D923&gt;4,D923&lt;=8),141,IF(AND(L920="Mittellos und stationär",D923&gt;2,D923&lt;=4),202,IF(AND(L920="Mittellos und stationär",D923&gt;1,D923&lt;=2),208,IF(AND(L920="Mittellos und stationär",D923&gt;0,D923&lt;=1),317,""))))))))))))))))))))),"")))*3+(J919*90)</f>
        <v>#NUM!</v>
      </c>
      <c r="M924" s="507" t="str">
        <f>CONCATENATE(K924, K923)</f>
        <v>+Inflat.-P</v>
      </c>
      <c r="N924" s="216"/>
      <c r="O924" s="188" t="s">
        <v>118</v>
      </c>
      <c r="P924" s="188"/>
      <c r="Q924" s="221"/>
      <c r="R924" s="199"/>
      <c r="S924" s="190"/>
      <c r="T924" s="190"/>
      <c r="U924" s="191"/>
      <c r="V924" s="192"/>
      <c r="W924" s="222" t="s">
        <v>118</v>
      </c>
      <c r="X924" s="222" t="s">
        <v>117</v>
      </c>
      <c r="Y924" s="191" t="s">
        <v>26</v>
      </c>
      <c r="Z924" s="192"/>
      <c r="AA924" s="190"/>
      <c r="AB924" s="190"/>
      <c r="AC924" s="191"/>
      <c r="AD924" s="192"/>
      <c r="AE924" s="190"/>
      <c r="AF924" s="190"/>
      <c r="AG924" s="191"/>
      <c r="AH924" s="193"/>
      <c r="AI924" s="190"/>
      <c r="AJ924" s="190"/>
      <c r="AK924" s="374"/>
      <c r="AL924" s="348" t="s">
        <v>149</v>
      </c>
      <c r="AM924" s="354"/>
      <c r="AN924" s="354">
        <f>IF(SUM(O920:O928)=SUM(W920:W928), 0, SUM(O920:O928)-SUM(W920:W928))</f>
        <v>0</v>
      </c>
      <c r="AO924" s="354"/>
      <c r="AP924" s="354"/>
      <c r="AQ924" s="350">
        <f>AM924+AN924+AO924+AP924</f>
        <v>0</v>
      </c>
      <c r="AR924" s="769"/>
      <c r="AS924" s="769"/>
      <c r="AT924" s="769"/>
      <c r="BM924" s="335"/>
    </row>
    <row r="925" spans="1:65" ht="22.25" customHeight="1">
      <c r="A925" s="181">
        <f t="shared" si="313"/>
        <v>45292</v>
      </c>
      <c r="B925" s="484">
        <f>YEAR($A926)-1</f>
        <v>2023</v>
      </c>
      <c r="C925" s="489" t="s">
        <v>158</v>
      </c>
      <c r="D925" s="520" t="e">
        <f>D923+1</f>
        <v>#NUM!</v>
      </c>
      <c r="E925" s="194" t="e">
        <f>DATE(YEAR(E924),MONTH(E924),DAY(E924)+1)</f>
        <v>#NUM!</v>
      </c>
      <c r="F925" s="195" t="e">
        <f t="shared" si="318"/>
        <v>#NUM!</v>
      </c>
      <c r="G925" s="196" t="e">
        <f t="shared" si="319"/>
        <v>#NUM!</v>
      </c>
      <c r="H925" s="195" t="e">
        <f t="shared" si="320"/>
        <v>#NUM!</v>
      </c>
      <c r="I925" s="197">
        <f>IF(J927&lt;13,J927,"")</f>
        <v>9</v>
      </c>
      <c r="J925" s="224">
        <f>G920</f>
        <v>0</v>
      </c>
      <c r="K925" s="506" t="str">
        <f t="shared" si="314"/>
        <v/>
      </c>
      <c r="L925" s="471"/>
      <c r="M925" s="473" t="e">
        <f ca="1">SUM(J920-E926)&amp;" Tage"</f>
        <v>#NUM!</v>
      </c>
      <c r="N925" s="200"/>
      <c r="O925" s="201"/>
      <c r="P925" s="201"/>
      <c r="Q925" s="202"/>
      <c r="R925" s="189"/>
      <c r="S925" s="203"/>
      <c r="T925" s="203"/>
      <c r="U925" s="204"/>
      <c r="V925" s="192"/>
      <c r="W925" s="203"/>
      <c r="X925" s="203"/>
      <c r="Y925" s="204"/>
      <c r="Z925" s="192"/>
      <c r="AA925" s="203"/>
      <c r="AB925" s="203"/>
      <c r="AC925" s="204"/>
      <c r="AD925" s="192"/>
      <c r="AE925" s="203"/>
      <c r="AF925" s="203"/>
      <c r="AG925" s="204"/>
      <c r="AH925" s="193"/>
      <c r="AI925" s="203"/>
      <c r="AJ925" s="203"/>
      <c r="AK925" s="375"/>
      <c r="AL925" s="348"/>
      <c r="AM925" s="354"/>
      <c r="AN925" s="354"/>
      <c r="AO925" s="354"/>
      <c r="AP925" s="354"/>
      <c r="AQ925" s="350"/>
      <c r="AR925" s="769"/>
      <c r="AS925" s="769"/>
      <c r="AT925" s="769"/>
      <c r="BM925" s="335"/>
    </row>
    <row r="926" spans="1:65" ht="22.25" customHeight="1">
      <c r="A926" s="181">
        <f t="shared" si="313"/>
        <v>45292</v>
      </c>
      <c r="B926" s="485"/>
      <c r="C926" s="490"/>
      <c r="D926" s="521"/>
      <c r="E926" s="194" t="e">
        <f>DATE(YEAR(E925),MONTH(E925)+3,DAY(E925)-1)</f>
        <v>#NUM!</v>
      </c>
      <c r="F926" s="195" t="e">
        <f t="shared" si="318"/>
        <v>#NUM!</v>
      </c>
      <c r="G926" s="196" t="e">
        <f t="shared" si="319"/>
        <v>#NUM!</v>
      </c>
      <c r="H926" s="195" t="e">
        <f t="shared" si="320"/>
        <v>#NUM!</v>
      </c>
      <c r="I926" s="244">
        <f>IF(J928&lt;13,J928,"")</f>
        <v>6</v>
      </c>
      <c r="J926" s="224">
        <f>J925+3</f>
        <v>3</v>
      </c>
      <c r="K926" s="501" t="str">
        <f t="shared" si="314"/>
        <v>+Inflat.-P</v>
      </c>
      <c r="L926" s="511" t="e">
        <f>IF(M919="Stufe A",IF(AND(L920="Auswahl treffen",D925&gt;=0,D925&lt;=1000),J919,IF(AND(L920="Vermögend und ambulant",D925&gt;8,D925&lt;=1000),130,IF(AND(L920="Vermögend und ambulant",D925&gt;4,D925&lt;=8),158,IF(AND(L920="Vermögend und ambulant",D925&gt;2,D925&lt;=4),192,IF(AND(L920="Vermögend und ambulant",D925&gt;1,D925&lt;=2),208,IF(AND(L920="Vermögend und ambulant",D925&gt;0,D925&lt;=1),298,IF(AND(L920="Vermögend und stationär",D925&gt;8,D925&lt;=1000),78,IF(AND(L920="Vermögend und stationär",D925&gt;4,D925&lt;=8),91,IF(AND(L920="Vermögend und stationär",D925&gt;2,D925&lt;=4),140,IF(AND(L920="Vermögend und stationär",D925&gt;1,D925&lt;=2),158,IF(AND(L920="Vermögend und stationär",D925&gt;0,D925&lt;=1),200,IF(AND(L920="Mittellos und ambulant",D925&gt;8,D925&lt;=1000),105,IF(AND(L920="Mittellos und ambulant",D925&gt;4,D925&lt;=8),122,IF(AND(L920="Mittellos und ambulant",D925&gt;2,D925&lt;=4),151,IF(AND(L920="Mittellos und ambulant",D925&gt;1,D925&lt;=2),170,IF(AND(L920="Mittellos und ambulant",D925&gt;0,D925&lt;=1),208,IF(AND(L920="Mittellos und stationär",D925&gt;8,D925&lt;=1000),62,IF(AND(L920="Mittellos und stationär",D925&gt;4,D925&lt;=8),87,IF(AND(L920="Mittellos und stationär",D925&gt;2,D925&lt;=4),124,IF(AND(L920="Mittellos und stationär",D925&gt;1,D925&lt;=2),129,IF(AND(L920="Mittellos und stationär",D925&gt;0,D925&lt;=1),194,""))))))))))))))))))))),IF(M919="Stufe B",IF(AND(L920="Auswahl treffen",D925&gt;=0,D925&lt;=1000),J919,IF(AND(L920="Vermögend und ambulant",D925&gt;8,D925&lt;=1000),161,IF(AND(L920="Vermögend und ambulant",D925&gt;4,D925&lt;=8),196,IF(AND(L920="Vermögend und ambulant",D925&gt;2,D925&lt;=4),238,IF(AND(L920="Vermögend und ambulant",D925&gt;1,D925&lt;=2),258,IF(AND(L920="Vermögend und ambulant",D925&gt;0,D925&lt;=1),370,IF(AND(L920="Vermögend und stationär",D925&gt;8,D925&lt;=1000),96,IF(AND(L920="Vermögend und stationär",D925&gt;4,D925&lt;=8),113,IF(AND(L920="Vermögend und stationär",D925&gt;2,D925&lt;=4),174,IF(AND(L920="Vermögend und stationär",D925&gt;1,D925&lt;=2),196,IF(AND(L920="Vermögend und stationär",D925&gt;0,D925&lt;=1),249,IF(AND(L920="Mittellos und ambulant",D925&gt;8,D925&lt;=1000),130,IF(AND(L920="Mittellos und ambulant",D925&gt;4,D925&lt;=8),151,IF(AND(L920="Mittellos und ambulant",D925&gt;2,D925&lt;=4),188,IF(AND(L920="Mittellos und ambulant",D925&gt;1,D925&lt;=2),211,IF(AND(L920="Mittellos und ambulant",D925&gt;0,D925&lt;=1),258,IF(AND(L920="Mittellos und stationär",D925&gt;8,D925&lt;=1000),78,IF(AND(L920="Mittellos und stationär",D925&gt;4,D925&lt;=8),107,IF(AND(L920="Mittellos und stationär",D925&gt;2,D925&lt;=4),154,IF(AND(L920="Mittellos und stationär",D925&gt;1,D925&lt;=2),158,IF(AND(L920="Mittellos und stationär",D925&gt;0,D925&lt;=1),241,""))))))))))))))))))))),IF(M919="Stufe C",IF(AND(L920="Auswahl treffen",D925&gt;=0,D925&lt;=1000),J919,IF(AND(L920="Vermögend und ambulant",D925&gt;8,D925&lt;=1000),211,IF(AND(L920="Vermögend und ambulant",D925&gt;4,D925&lt;=8),257,IF(AND(L920="Vermögend und ambulant",D925&gt;2,D925&lt;=4),312,IF(AND(L920="Vermögend und ambulant",D925&gt;1,D925&lt;=2),339,IF(AND(L920="Vermögend und ambulant",D925&gt;0,D925&lt;=1),486,IF(AND(L920="Vermögend und stationär",D925&gt;8,D925&lt;=1000),127,IF(AND(L920="Vermögend und stationär",D925&gt;4,D925&lt;=8),149,IF(AND(L920="Vermögend und stationär",D925&gt;2,D925&lt;=4),229,IF(AND(L920="Vermögend und stationär",D925&gt;1,D925&lt;=2),257,IF(AND(L920="Vermögend und stationär",D925&gt;0,D925&lt;=1),327,IF(AND(L920="Mittellos und ambulant",D925&gt;8,D925&lt;=1000),171,IF(AND(L920="Mittellos und ambulant",D925&gt;4,D925&lt;=8),198,IF(AND(L920="Mittellos und ambulant",D925&gt;2,D925&lt;=4),246,IF(AND(L920="Mittellos und ambulant",D925&gt;1,D925&lt;=2),277,IF(AND(L920="Mittellos und ambulant",D925&gt;0,D925&lt;=1),339,IF(AND(L920="Mittellos und stationär",D925&gt;8,D925&lt;=1000),102,IF(AND(L920="Mittellos und stationär",D925&gt;4,D925&lt;=8),141,IF(AND(L920="Mittellos und stationär",D925&gt;2,D925&lt;=4),202,IF(AND(L920="Mittellos und stationär",D925&gt;1,D925&lt;=2),208,IF(AND(L920="Mittellos und stationär",D925&gt;0,D925&lt;=1),317,""))))))))))))))))))))),"")))*3+(J919*90)</f>
        <v>#NUM!</v>
      </c>
      <c r="M926" s="507" t="str">
        <f>CONCATENATE(K926, K925)</f>
        <v>+Inflat.-P</v>
      </c>
      <c r="N926" s="206"/>
      <c r="O926" s="207"/>
      <c r="P926" s="206" t="s">
        <v>118</v>
      </c>
      <c r="Q926" s="226"/>
      <c r="R926" s="189"/>
      <c r="S926" s="203"/>
      <c r="T926" s="203"/>
      <c r="U926" s="204"/>
      <c r="V926" s="192"/>
      <c r="W926" s="203"/>
      <c r="X926" s="203"/>
      <c r="Y926" s="204"/>
      <c r="Z926" s="192"/>
      <c r="AA926" s="209" t="s">
        <v>118</v>
      </c>
      <c r="AB926" s="209" t="s">
        <v>117</v>
      </c>
      <c r="AC926" s="204" t="s">
        <v>26</v>
      </c>
      <c r="AD926" s="192"/>
      <c r="AE926" s="203"/>
      <c r="AF926" s="203"/>
      <c r="AG926" s="204"/>
      <c r="AH926" s="193"/>
      <c r="AI926" s="203"/>
      <c r="AJ926" s="203"/>
      <c r="AK926" s="375"/>
      <c r="AL926" s="348" t="s">
        <v>150</v>
      </c>
      <c r="AM926" s="354"/>
      <c r="AN926" s="354"/>
      <c r="AO926" s="354">
        <f>IF(SUM(P920:P928)=SUM(AA920:AA928), 0, SUM(P920:P928)-SUM(AA920:AA928))</f>
        <v>0</v>
      </c>
      <c r="AP926" s="354"/>
      <c r="AQ926" s="350">
        <f>AM926+AN926+AO926+AP926</f>
        <v>0</v>
      </c>
      <c r="AR926" s="769"/>
      <c r="AS926" s="769"/>
      <c r="AT926" s="769"/>
      <c r="BM926" s="335"/>
    </row>
    <row r="927" spans="1:65" ht="22.25" customHeight="1">
      <c r="A927" s="181">
        <f t="shared" si="313"/>
        <v>45292</v>
      </c>
      <c r="B927" s="486"/>
      <c r="C927" s="489" t="s">
        <v>158</v>
      </c>
      <c r="D927" s="522" t="e">
        <f>D925+1</f>
        <v>#NUM!</v>
      </c>
      <c r="E927" s="211" t="e">
        <f>DATE(YEAR(E926),MONTH(E926),DAY(E926)+1)</f>
        <v>#NUM!</v>
      </c>
      <c r="F927" s="227" t="e">
        <f t="shared" si="318"/>
        <v>#NUM!</v>
      </c>
      <c r="G927" s="228" t="e">
        <f t="shared" si="319"/>
        <v>#NUM!</v>
      </c>
      <c r="H927" s="227" t="e">
        <f t="shared" si="320"/>
        <v>#NUM!</v>
      </c>
      <c r="I927" s="231">
        <f>IF(J926&lt;13,J926,"")</f>
        <v>3</v>
      </c>
      <c r="J927" s="230">
        <f>J928+3</f>
        <v>9</v>
      </c>
      <c r="K927" s="506" t="str">
        <f t="shared" si="314"/>
        <v/>
      </c>
      <c r="L927" s="471"/>
      <c r="M927" s="473" t="e">
        <f ca="1">SUM(J920-E928)&amp;" Tage"</f>
        <v>#NUM!</v>
      </c>
      <c r="N927" s="216"/>
      <c r="O927" s="188"/>
      <c r="P927" s="188"/>
      <c r="Q927" s="217"/>
      <c r="R927" s="189"/>
      <c r="S927" s="190"/>
      <c r="T927" s="190"/>
      <c r="U927" s="191"/>
      <c r="V927" s="192"/>
      <c r="W927" s="190"/>
      <c r="X927" s="190"/>
      <c r="Y927" s="191"/>
      <c r="Z927" s="192"/>
      <c r="AA927" s="190"/>
      <c r="AB927" s="190"/>
      <c r="AC927" s="191"/>
      <c r="AD927" s="192"/>
      <c r="AE927" s="190"/>
      <c r="AF927" s="190"/>
      <c r="AG927" s="191"/>
      <c r="AH927" s="193"/>
      <c r="AI927" s="190"/>
      <c r="AJ927" s="190"/>
      <c r="AK927" s="374"/>
      <c r="AL927" s="348"/>
      <c r="AM927" s="354"/>
      <c r="AN927" s="354"/>
      <c r="AO927" s="354"/>
      <c r="AP927" s="354"/>
      <c r="AQ927" s="350"/>
      <c r="AR927" s="769"/>
      <c r="AS927" s="769"/>
      <c r="AT927" s="769"/>
      <c r="BM927" s="335"/>
    </row>
    <row r="928" spans="1:65" ht="22.25" customHeight="1">
      <c r="A928" s="181">
        <f t="shared" si="313"/>
        <v>45292</v>
      </c>
      <c r="B928" s="485"/>
      <c r="C928" s="490"/>
      <c r="D928" s="521"/>
      <c r="E928" s="218" t="e">
        <f>DATE(YEAR(E927),MONTH(E927)+3,DAY(E927)-1)</f>
        <v>#NUM!</v>
      </c>
      <c r="F928" s="227" t="e">
        <f t="shared" si="318"/>
        <v>#NUM!</v>
      </c>
      <c r="G928" s="228" t="e">
        <f t="shared" si="319"/>
        <v>#NUM!</v>
      </c>
      <c r="H928" s="227" t="e">
        <f t="shared" si="320"/>
        <v>#NUM!</v>
      </c>
      <c r="I928" s="231">
        <f>IF(J925&lt;13,J925,"")</f>
        <v>0</v>
      </c>
      <c r="J928" s="230">
        <f>J926+3</f>
        <v>6</v>
      </c>
      <c r="K928" s="501" t="str">
        <f t="shared" si="314"/>
        <v>+Inflat.-P</v>
      </c>
      <c r="L928" s="508" t="e">
        <f>IF(M919="Stufe A",IF(AND(L920="Auswahl treffen",D927&gt;=0,D927&lt;=1000),J919,IF(AND(L920="Vermögend und ambulant",D927&gt;8,D927&lt;=1000),130,IF(AND(L920="Vermögend und ambulant",D927&gt;4,D927&lt;=8),158,IF(AND(L920="Vermögend und ambulant",D927&gt;2,D927&lt;=4),192,IF(AND(L920="Vermögend und ambulant",D927&gt;1,D927&lt;=2),208,IF(AND(L920="Vermögend und ambulant",D927&gt;0,D927&lt;=1),298,IF(AND(L920="Vermögend und stationär",D927&gt;8,D927&lt;=1000),78,IF(AND(L920="Vermögend und stationär",D927&gt;4,D927&lt;=8),91,IF(AND(L920="Vermögend und stationär",D927&gt;2,D927&lt;=4),140,IF(AND(L920="Vermögend und stationär",D927&gt;1,D927&lt;=2),158,IF(AND(L920="Vermögend und stationär",D927&gt;0,D927&lt;=1),200,IF(AND(L920="Mittellos und ambulant",D927&gt;8,D927&lt;=1000),105,IF(AND(L920="Mittellos und ambulant",D927&gt;4,D927&lt;=8),122,IF(AND(L920="Mittellos und ambulant",D927&gt;2,D927&lt;=4),151,IF(AND(L920="Mittellos und ambulant",D927&gt;1,D927&lt;=2),170,IF(AND(L920="Mittellos und ambulant",D927&gt;0,D927&lt;=1),208,IF(AND(L920="Mittellos und stationär",D927&gt;8,D927&lt;=1000),62,IF(AND(L920="Mittellos und stationär",D927&gt;4,D927&lt;=8),87,IF(AND(L920="Mittellos und stationär",D927&gt;2,D927&lt;=4),124,IF(AND(L920="Mittellos und stationär",D927&gt;1,D927&lt;=2),129,IF(AND(L920="Mittellos und stationär",D927&gt;0,D927&lt;=1),194,""))))))))))))))))))))),IF(M919="Stufe B",IF(AND(L920="Auswahl treffen",D927&gt;=0,D927&lt;=1000),J919,IF(AND(L920="Vermögend und ambulant",D927&gt;8,D927&lt;=1000),161,IF(AND(L920="Vermögend und ambulant",D927&gt;4,D927&lt;=8),196,IF(AND(L920="Vermögend und ambulant",D927&gt;2,D927&lt;=4),238,IF(AND(L920="Vermögend und ambulant",D927&gt;1,D927&lt;=2),258,IF(AND(L920="Vermögend und ambulant",D927&gt;0,D927&lt;=1),370,IF(AND(L920="Vermögend und stationär",D927&gt;8,D927&lt;=1000),96,IF(AND(L920="Vermögend und stationär",D927&gt;4,D927&lt;=8),113,IF(AND(L920="Vermögend und stationär",D927&gt;2,D927&lt;=4),174,IF(AND(L920="Vermögend und stationär",D927&gt;1,D927&lt;=2),196,IF(AND(L920="Vermögend und stationär",D927&gt;0,D927&lt;=1),249,IF(AND(L920="Mittellos und ambulant",D927&gt;8,D927&lt;=1000),130,IF(AND(L920="Mittellos und ambulant",D927&gt;4,D927&lt;=8),151,IF(AND(L920="Mittellos und ambulant",D927&gt;2,D927&lt;=4),188,IF(AND(L920="Mittellos und ambulant",D927&gt;1,D927&lt;=2),211,IF(AND(L920="Mittellos und ambulant",D927&gt;0,D927&lt;=1),258,IF(AND(L920="Mittellos und stationär",D927&gt;8,D927&lt;=1000),78,IF(AND(L920="Mittellos und stationär",D927&gt;4,D927&lt;=8),107,IF(AND(L920="Mittellos und stationär",D927&gt;2,D927&lt;=4),154,IF(AND(L920="Mittellos und stationär",D927&gt;1,D927&lt;=2),158,IF(AND(L920="Mittellos und stationär",D927&gt;0,D927&lt;=1),241,""))))))))))))))))))))),IF(M919="Stufe C",IF(AND(L920="Auswahl treffen",D927&gt;=0,D927&lt;=1000),J919,IF(AND(L920="Vermögend und ambulant",D927&gt;8,D927&lt;=1000),211,IF(AND(L920="Vermögend und ambulant",D927&gt;4,D927&lt;=8),257,IF(AND(L920="Vermögend und ambulant",D927&gt;2,D927&lt;=4),312,IF(AND(L920="Vermögend und ambulant",D927&gt;1,D927&lt;=2),339,IF(AND(L920="Vermögend und ambulant",D927&gt;0,D927&lt;=1),486,IF(AND(L920="Vermögend und stationär",D927&gt;8,D927&lt;=1000),127,IF(AND(L920="Vermögend und stationär",D927&gt;4,D927&lt;=8),149,IF(AND(L920="Vermögend und stationär",D927&gt;2,D927&lt;=4),229,IF(AND(L920="Vermögend und stationär",D927&gt;1,D927&lt;=2),257,IF(AND(L920="Vermögend und stationär",D927&gt;0,D927&lt;=1),327,IF(AND(L920="Mittellos und ambulant",D927&gt;8,D927&lt;=1000),171,IF(AND(L920="Mittellos und ambulant",D927&gt;4,D927&lt;=8),198,IF(AND(L920="Mittellos und ambulant",D927&gt;2,D927&lt;=4),246,IF(AND(L920="Mittellos und ambulant",D927&gt;1,D927&lt;=2),277,IF(AND(L920="Mittellos und ambulant",D927&gt;0,D927&lt;=1),339,IF(AND(L920="Mittellos und stationär",D927&gt;8,D927&lt;=1000),102,IF(AND(L920="Mittellos und stationär",D927&gt;4,D927&lt;=8),141,IF(AND(L920="Mittellos und stationär",D927&gt;2,D927&lt;=4),202,IF(AND(L920="Mittellos und stationär",D927&gt;1,D927&lt;=2),208,IF(AND(L920="Mittellos und stationär",D927&gt;0,D927&lt;=1),317,""))))))))))))))))))))),"")))*3+(J919*90)</f>
        <v>#NUM!</v>
      </c>
      <c r="M928" s="507" t="str">
        <f>CONCATENATE(K928, K927)</f>
        <v>+Inflat.-P</v>
      </c>
      <c r="N928" s="216"/>
      <c r="O928" s="188"/>
      <c r="P928" s="188"/>
      <c r="Q928" s="217" t="s">
        <v>118</v>
      </c>
      <c r="R928" s="189"/>
      <c r="S928" s="190"/>
      <c r="T928" s="190"/>
      <c r="U928" s="191"/>
      <c r="V928" s="192"/>
      <c r="W928" s="190"/>
      <c r="X928" s="190"/>
      <c r="Y928" s="191"/>
      <c r="Z928" s="192"/>
      <c r="AA928" s="190"/>
      <c r="AB928" s="190"/>
      <c r="AC928" s="191"/>
      <c r="AD928" s="192"/>
      <c r="AE928" s="190" t="s">
        <v>118</v>
      </c>
      <c r="AF928" s="190" t="s">
        <v>117</v>
      </c>
      <c r="AG928" s="191" t="s">
        <v>26</v>
      </c>
      <c r="AH928" s="193"/>
      <c r="AI928" s="190" t="s">
        <v>118</v>
      </c>
      <c r="AJ928" s="190" t="s">
        <v>117</v>
      </c>
      <c r="AK928" s="374" t="s">
        <v>26</v>
      </c>
      <c r="AL928" s="348" t="s">
        <v>151</v>
      </c>
      <c r="AM928" s="354"/>
      <c r="AN928" s="354"/>
      <c r="AO928" s="354"/>
      <c r="AP928" s="354">
        <f>IF(SUM(Q920:Q928)=SUM(AE920:AE928,AI920:AI928), 0, SUM(Q920:Q928)-SUM(AE920:AE928,AI920:AI928))</f>
        <v>0</v>
      </c>
      <c r="AQ928" s="350">
        <f>AM928+AN928+AO928+AP928</f>
        <v>0</v>
      </c>
      <c r="AR928" s="769"/>
      <c r="AS928" s="769"/>
      <c r="AT928" s="769"/>
      <c r="BM928" s="335"/>
    </row>
    <row r="929" spans="1:65" ht="22" customHeight="1">
      <c r="A929" s="181">
        <f t="shared" si="313"/>
        <v>45292</v>
      </c>
      <c r="B929" s="232" t="s">
        <v>74</v>
      </c>
      <c r="C929" s="233" t="s">
        <v>75</v>
      </c>
      <c r="D929" s="234" t="s">
        <v>76</v>
      </c>
      <c r="E929" s="235" t="s">
        <v>11</v>
      </c>
      <c r="F929" s="235" t="s">
        <v>4</v>
      </c>
      <c r="G929" s="235" t="s">
        <v>5</v>
      </c>
      <c r="H929" s="235" t="s">
        <v>6</v>
      </c>
      <c r="I929" s="236" t="s">
        <v>77</v>
      </c>
      <c r="J929" s="306"/>
      <c r="K929" s="501" t="str">
        <f t="shared" si="314"/>
        <v/>
      </c>
      <c r="L929" s="306" t="str">
        <f>IFERROR(VLOOKUP(B930,'Aktuelle Einnahmen'!A2:J104,10,0),"")</f>
        <v/>
      </c>
      <c r="M929" s="510" t="str">
        <f>M919</f>
        <v>Stufe C</v>
      </c>
      <c r="N929" s="237"/>
      <c r="O929" s="238"/>
      <c r="P929" s="238"/>
      <c r="Q929" s="239"/>
      <c r="R929" s="240"/>
      <c r="S929" s="241"/>
      <c r="T929" s="241"/>
      <c r="U929" s="242"/>
      <c r="V929" s="243"/>
      <c r="W929" s="241"/>
      <c r="X929" s="241"/>
      <c r="Y929" s="242"/>
      <c r="Z929" s="243"/>
      <c r="AA929" s="241"/>
      <c r="AB929" s="241"/>
      <c r="AC929" s="242"/>
      <c r="AD929" s="243"/>
      <c r="AE929" s="241"/>
      <c r="AF929" s="241"/>
      <c r="AG929" s="242"/>
      <c r="AH929" s="240"/>
      <c r="AI929" s="241"/>
      <c r="AJ929" s="241"/>
      <c r="AK929" s="377"/>
      <c r="AL929" s="347"/>
      <c r="AM929" s="353"/>
      <c r="AN929" s="353"/>
      <c r="AO929" s="353"/>
      <c r="AP929" s="353"/>
      <c r="AQ929" s="349"/>
      <c r="AR929" s="768"/>
      <c r="AS929" s="768"/>
      <c r="AT929" s="768"/>
      <c r="BM929" s="335"/>
    </row>
    <row r="930" spans="1:65" ht="23" customHeight="1">
      <c r="A930" s="181">
        <f t="shared" si="313"/>
        <v>45292</v>
      </c>
      <c r="B930" s="182">
        <v>93</v>
      </c>
      <c r="C930" s="245">
        <f>IFERROR(VLOOKUP($B930,'Aktuelle Einnahmen'!A2:G104,3,0),"")</f>
        <v>0</v>
      </c>
      <c r="D930" s="246">
        <f>IFERROR(VLOOKUP($B930,'Aktuelle Einnahmen'!A2:G104,2,0),"")</f>
        <v>0</v>
      </c>
      <c r="E930" s="247">
        <f>IFERROR(VLOOKUP($B930,'Aktuelle Einnahmen'!A2:G104,4,0),"")</f>
        <v>0</v>
      </c>
      <c r="F930" s="94">
        <f>IFERROR(VLOOKUP($B930,'Aktuelle Einnahmen'!A2:G104,5,0),"")</f>
        <v>0</v>
      </c>
      <c r="G930" s="94">
        <f>IFERROR(VLOOKUP($B930,'Aktuelle Einnahmen'!A2:G104,6,0),"")</f>
        <v>0</v>
      </c>
      <c r="H930" s="94">
        <f>IFERROR(VLOOKUP($B930,'Aktuelle Einnahmen'!A2:G104,7,0),"")</f>
        <v>0</v>
      </c>
      <c r="I930" s="186" t="e">
        <f>DATE(H930,G930,F930)</f>
        <v>#NUM!</v>
      </c>
      <c r="J930" s="472">
        <f ca="1">J920</f>
        <v>45475</v>
      </c>
      <c r="K930" s="506" t="str">
        <f t="shared" si="314"/>
        <v>+Inflat.-P</v>
      </c>
      <c r="L930" s="1262" t="str">
        <f>IFERROR(VLOOKUP(B930,'Aktuelle Einnahmen'!A22:I124,9,0),"")</f>
        <v>Auswahl treffen</v>
      </c>
      <c r="M930" s="1263"/>
      <c r="N930" s="261"/>
      <c r="O930" s="261"/>
      <c r="P930" s="261"/>
      <c r="Q930" s="261"/>
      <c r="R930" s="189"/>
      <c r="S930" s="190"/>
      <c r="T930" s="190"/>
      <c r="U930" s="191"/>
      <c r="V930" s="192"/>
      <c r="W930" s="190"/>
      <c r="X930" s="190"/>
      <c r="Y930" s="191"/>
      <c r="Z930" s="192"/>
      <c r="AA930" s="190"/>
      <c r="AB930" s="190"/>
      <c r="AC930" s="191"/>
      <c r="AD930" s="192"/>
      <c r="AE930" s="190"/>
      <c r="AF930" s="190"/>
      <c r="AG930" s="191"/>
      <c r="AH930" s="193"/>
      <c r="AI930" s="190"/>
      <c r="AJ930" s="190"/>
      <c r="AK930" s="374"/>
      <c r="AL930" s="348"/>
      <c r="AM930" s="354"/>
      <c r="AN930" s="354"/>
      <c r="AO930" s="354"/>
      <c r="AP930" s="354"/>
      <c r="AQ930" s="350"/>
      <c r="AR930" s="769"/>
      <c r="AS930" s="769"/>
      <c r="AT930" s="769"/>
      <c r="BM930" s="335"/>
    </row>
    <row r="931" spans="1:65" ht="22.25" customHeight="1">
      <c r="A931" s="181">
        <f t="shared" si="313"/>
        <v>45292</v>
      </c>
      <c r="B931" s="484" t="e">
        <f>DAY(I930)</f>
        <v>#NUM!</v>
      </c>
      <c r="C931" s="489" t="s">
        <v>158</v>
      </c>
      <c r="D931" s="520" t="e">
        <f>(I931*4)+J931/3+1</f>
        <v>#NUM!</v>
      </c>
      <c r="E931" s="194" t="e">
        <f>J933+1</f>
        <v>#NUM!</v>
      </c>
      <c r="F931" s="195" t="e">
        <f t="shared" ref="F931:F938" si="321">DAY(E931)</f>
        <v>#NUM!</v>
      </c>
      <c r="G931" s="196" t="e">
        <f t="shared" ref="G931:G938" si="322">MONTH(E931)</f>
        <v>#NUM!</v>
      </c>
      <c r="H931" s="195" t="e">
        <f t="shared" ref="H931:H938" si="323">YEAR(E931)</f>
        <v>#NUM!</v>
      </c>
      <c r="I931" s="197" t="e">
        <f>H931-(H930+2000)</f>
        <v>#NUM!</v>
      </c>
      <c r="J931" s="198" t="e">
        <f>G931-G930</f>
        <v>#NUM!</v>
      </c>
      <c r="K931" s="506" t="str">
        <f>L929</f>
        <v/>
      </c>
      <c r="L931" s="469"/>
      <c r="M931" s="473" t="e">
        <f ca="1">SUM(J930-E932)&amp;" Tage"</f>
        <v>#NUM!</v>
      </c>
      <c r="N931" s="206"/>
      <c r="O931" s="201"/>
      <c r="P931" s="201"/>
      <c r="Q931" s="202"/>
      <c r="R931" s="189"/>
      <c r="S931" s="203"/>
      <c r="T931" s="203"/>
      <c r="U931" s="204"/>
      <c r="V931" s="192"/>
      <c r="W931" s="203"/>
      <c r="X931" s="203"/>
      <c r="Y931" s="204"/>
      <c r="Z931" s="192"/>
      <c r="AA931" s="203"/>
      <c r="AB931" s="203"/>
      <c r="AC931" s="204"/>
      <c r="AD931" s="192"/>
      <c r="AE931" s="203"/>
      <c r="AF931" s="203"/>
      <c r="AG931" s="204"/>
      <c r="AH931" s="193"/>
      <c r="AI931" s="203"/>
      <c r="AJ931" s="203"/>
      <c r="AK931" s="375"/>
      <c r="AL931" s="348"/>
      <c r="AM931" s="354"/>
      <c r="AN931" s="354"/>
      <c r="AO931" s="354"/>
      <c r="AP931" s="354"/>
      <c r="AQ931" s="350"/>
      <c r="AR931" s="769"/>
      <c r="AS931" s="769"/>
      <c r="AT931" s="769"/>
      <c r="BM931" s="335"/>
    </row>
    <row r="932" spans="1:65" ht="22.25" customHeight="1">
      <c r="A932" s="181">
        <f t="shared" si="313"/>
        <v>45292</v>
      </c>
      <c r="B932" s="485"/>
      <c r="C932" s="490"/>
      <c r="D932" s="521"/>
      <c r="E932" s="194" t="e">
        <f>DATE(YEAR(E931),MONTH(E931)+3,DAY(E931)-1)</f>
        <v>#NUM!</v>
      </c>
      <c r="F932" s="195" t="e">
        <f t="shared" si="321"/>
        <v>#NUM!</v>
      </c>
      <c r="G932" s="196" t="e">
        <f t="shared" si="322"/>
        <v>#NUM!</v>
      </c>
      <c r="H932" s="195" t="e">
        <f t="shared" si="323"/>
        <v>#NUM!</v>
      </c>
      <c r="I932" s="244">
        <v>-1</v>
      </c>
      <c r="J932" s="198" t="e">
        <f>F931-F930</f>
        <v>#NUM!</v>
      </c>
      <c r="K932" s="506" t="str">
        <f t="shared" si="314"/>
        <v>+Inflat.-P</v>
      </c>
      <c r="L932" s="511" t="e">
        <f>IF(M929="Stufe A",IF(AND(L930="Auswahl treffen",D931&gt;=0,D931&lt;=1000),J929,IF(AND(L930="Vermögend und ambulant",D931&gt;8,D931&lt;=1000),130,IF(AND(L930="Vermögend und ambulant",D931&gt;4,D931&lt;=8),158,IF(AND(L930="Vermögend und ambulant",D931&gt;2,D931&lt;=4),192,IF(AND(L930="Vermögend und ambulant",D931&gt;1,D931&lt;=2),208,IF(AND(L930="Vermögend und ambulant",D931&gt;0,D931&lt;=1),298,IF(AND(L930="Vermögend und stationär",D931&gt;8,D931&lt;=1000),78,IF(AND(L930="Vermögend und stationär",D931&gt;4,D931&lt;=8),91,IF(AND(L930="Vermögend und stationär",D931&gt;2,D931&lt;=4),140,IF(AND(L930="Vermögend und stationär",D931&gt;1,D931&lt;=2),158,IF(AND(L930="Vermögend und stationär",D931&gt;0,D931&lt;=1),200,IF(AND(L930="Mittellos und ambulant",D931&gt;8,D931&lt;=1000),105,IF(AND(L930="Mittellos und ambulant",D931&gt;4,D931&lt;=8),122,IF(AND(L930="Mittellos und ambulant",D931&gt;2,D931&lt;=4),151,IF(AND(L930="Mittellos und ambulant",D931&gt;1,D931&lt;=2),170,IF(AND(L930="Mittellos und ambulant",D931&gt;0,D931&lt;=1),208,IF(AND(L930="Mittellos und stationär",D931&gt;8,D931&lt;=1000),62,IF(AND(L930="Mittellos und stationär",D931&gt;4,D931&lt;=8),87,IF(AND(L930="Mittellos und stationär",D931&gt;2,D931&lt;=4),124,IF(AND(L930="Mittellos und stationär",D931&gt;1,D931&lt;=2),129,IF(AND(L930="Mittellos und stationär",D931&gt;0,D931&lt;=1),194,""))))))))))))))))))))),IF(M929="Stufe B",IF(AND(L930="Auswahl treffen",D931&gt;=0,D931&lt;=1000),J929,IF(AND(L930="Vermögend und ambulant",D931&gt;8,D931&lt;=1000),161,IF(AND(L930="Vermögend und ambulant",D931&gt;4,D931&lt;=8),196,IF(AND(L930="Vermögend und ambulant",D931&gt;2,D931&lt;=4),238,IF(AND(L930="Vermögend und ambulant",D931&gt;1,D931&lt;=2),258,IF(AND(L930="Vermögend und ambulant",D931&gt;0,D931&lt;=1),370,IF(AND(L930="Vermögend und stationär",D931&gt;8,D931&lt;=1000),96,IF(AND(L930="Vermögend und stationär",D931&gt;4,D931&lt;=8),113,IF(AND(L930="Vermögend und stationär",D931&gt;2,D931&lt;=4),174,IF(AND(L930="Vermögend und stationär",D931&gt;1,D931&lt;=2),196,IF(AND(L930="Vermögend und stationär",D931&gt;0,D931&lt;=1),249,IF(AND(L930="Mittellos und ambulant",D931&gt;8,D931&lt;=1000),130,IF(AND(L930="Mittellos und ambulant",D931&gt;4,D931&lt;=8),151,IF(AND(L930="Mittellos und ambulant",D931&gt;2,D931&lt;=4),188,IF(AND(L930="Mittellos und ambulant",D931&gt;1,D931&lt;=2),211,IF(AND(L930="Mittellos und ambulant",D931&gt;0,D931&lt;=1),258,IF(AND(L930="Mittellos und stationär",D931&gt;8,D931&lt;=1000),78,IF(AND(L930="Mittellos und stationär",D931&gt;4,D931&lt;=8),107,IF(AND(L930="Mittellos und stationär",D931&gt;2,D931&lt;=4),154,IF(AND(L930="Mittellos und stationär",D931&gt;1,D931&lt;=2),158,IF(AND(L930="Mittellos und stationär",D931&gt;0,D931&lt;=1),241,""))))))))))))))))))))),IF(M929="Stufe C",IF(AND(L930="Auswahl treffen",D931&gt;=0,D931&lt;=1000),J929,IF(AND(L930="Vermögend und ambulant",D931&gt;8,D931&lt;=1000),211,IF(AND(L930="Vermögend und ambulant",D931&gt;4,D931&lt;=8),257,IF(AND(L930="Vermögend und ambulant",D931&gt;2,D931&lt;=4),312,IF(AND(L930="Vermögend und ambulant",D931&gt;1,D931&lt;=2),339,IF(AND(L930="Vermögend und ambulant",D931&gt;0,D931&lt;=1),486,IF(AND(L930="Vermögend und stationär",D931&gt;8,D931&lt;=1000),127,IF(AND(L930="Vermögend und stationär",D931&gt;4,D931&lt;=8),149,IF(AND(L930="Vermögend und stationär",D931&gt;2,D931&lt;=4),229,IF(AND(L930="Vermögend und stationär",D931&gt;1,D931&lt;=2),257,IF(AND(L930="Vermögend und stationär",D931&gt;0,D931&lt;=1),327,IF(AND(L930="Mittellos und ambulant",D931&gt;8,D931&lt;=1000),171,IF(AND(L930="Mittellos und ambulant",D931&gt;4,D931&lt;=8),198,IF(AND(L930="Mittellos und ambulant",D931&gt;2,D931&lt;=4),246,IF(AND(L930="Mittellos und ambulant",D931&gt;1,D931&lt;=2),277,IF(AND(L930="Mittellos und ambulant",D931&gt;0,D931&lt;=1),339,IF(AND(L930="Mittellos und stationär",D931&gt;8,D931&lt;=1000),102,IF(AND(L930="Mittellos und stationär",D931&gt;4,D931&lt;=8),141,IF(AND(L930="Mittellos und stationär",D931&gt;2,D931&lt;=4),202,IF(AND(L930="Mittellos und stationär",D931&gt;1,D931&lt;=2),208,IF(AND(L930="Mittellos und stationär",D931&gt;0,D931&lt;=1),317,""))))))))))))))))))))),"")))*3+(J929*90)</f>
        <v>#NUM!</v>
      </c>
      <c r="M932" s="507" t="str">
        <f>CONCATENATE(K932, K931)</f>
        <v>+Inflat.-P</v>
      </c>
      <c r="N932" s="206" t="s">
        <v>118</v>
      </c>
      <c r="O932" s="207"/>
      <c r="P932" s="207"/>
      <c r="Q932" s="208"/>
      <c r="R932" s="187"/>
      <c r="S932" s="209" t="s">
        <v>118</v>
      </c>
      <c r="T932" s="201" t="s">
        <v>117</v>
      </c>
      <c r="U932" s="210" t="s">
        <v>26</v>
      </c>
      <c r="V932" s="192"/>
      <c r="W932" s="203"/>
      <c r="X932" s="203"/>
      <c r="Y932" s="210"/>
      <c r="Z932" s="192"/>
      <c r="AA932" s="203"/>
      <c r="AB932" s="203"/>
      <c r="AC932" s="210"/>
      <c r="AD932" s="192"/>
      <c r="AE932" s="203"/>
      <c r="AF932" s="203"/>
      <c r="AG932" s="210"/>
      <c r="AH932" s="193"/>
      <c r="AI932" s="203"/>
      <c r="AJ932" s="203"/>
      <c r="AK932" s="376"/>
      <c r="AL932" s="348" t="s">
        <v>148</v>
      </c>
      <c r="AM932" s="354">
        <f>IF(SUM(N930:N938)=SUM(S930:S938), 0, SUM(N930:N938)-SUM(S930:S938))</f>
        <v>0</v>
      </c>
      <c r="AN932" s="354"/>
      <c r="AO932" s="354"/>
      <c r="AP932" s="354"/>
      <c r="AQ932" s="350">
        <f>AM932+AN932+AO932+AP932</f>
        <v>0</v>
      </c>
      <c r="AR932" s="769"/>
      <c r="AS932" s="769"/>
      <c r="AT932" s="769"/>
      <c r="BM932" s="335"/>
    </row>
    <row r="933" spans="1:65" ht="22.25" customHeight="1">
      <c r="A933" s="181">
        <f t="shared" si="313"/>
        <v>45292</v>
      </c>
      <c r="B933" s="484" t="e">
        <f>MONTH(I930)</f>
        <v>#NUM!</v>
      </c>
      <c r="C933" s="489" t="s">
        <v>158</v>
      </c>
      <c r="D933" s="522" t="e">
        <f>D931+1</f>
        <v>#NUM!</v>
      </c>
      <c r="E933" s="211" t="e">
        <f>DATE(YEAR(E932),MONTH(E932),DAY(E932)+1)</f>
        <v>#NUM!</v>
      </c>
      <c r="F933" s="212" t="e">
        <f t="shared" si="321"/>
        <v>#NUM!</v>
      </c>
      <c r="G933" s="213" t="e">
        <f t="shared" si="322"/>
        <v>#NUM!</v>
      </c>
      <c r="H933" s="212" t="e">
        <f t="shared" si="323"/>
        <v>#NUM!</v>
      </c>
      <c r="I933" s="214" t="str">
        <f>IF(D930&lt;&gt;0,"-1T","")</f>
        <v/>
      </c>
      <c r="J933" s="215" t="e">
        <f>DATE($B935,I934,$B931)</f>
        <v>#NUM!</v>
      </c>
      <c r="K933" s="501" t="str">
        <f t="shared" si="314"/>
        <v/>
      </c>
      <c r="L933" s="470"/>
      <c r="M933" s="473" t="e">
        <f ca="1">SUM(J930-E934)&amp;" Tage"</f>
        <v>#NUM!</v>
      </c>
      <c r="N933" s="216"/>
      <c r="O933" s="217"/>
      <c r="P933" s="188"/>
      <c r="Q933" s="217"/>
      <c r="R933" s="189"/>
      <c r="S933" s="190"/>
      <c r="T933" s="190"/>
      <c r="U933" s="191"/>
      <c r="V933" s="192"/>
      <c r="W933" s="190"/>
      <c r="X933" s="190"/>
      <c r="Y933" s="191"/>
      <c r="Z933" s="192"/>
      <c r="AA933" s="190"/>
      <c r="AB933" s="190"/>
      <c r="AC933" s="191"/>
      <c r="AD933" s="192"/>
      <c r="AE933" s="190"/>
      <c r="AF933" s="190"/>
      <c r="AG933" s="191"/>
      <c r="AH933" s="193"/>
      <c r="AI933" s="190"/>
      <c r="AJ933" s="190"/>
      <c r="AK933" s="374"/>
      <c r="AL933" s="348"/>
      <c r="AM933" s="354"/>
      <c r="AN933" s="354"/>
      <c r="AO933" s="354"/>
      <c r="AP933" s="354"/>
      <c r="AQ933" s="350"/>
      <c r="AR933" s="769"/>
      <c r="AS933" s="769"/>
      <c r="AT933" s="769"/>
      <c r="BM933" s="335"/>
    </row>
    <row r="934" spans="1:65" ht="22.25" customHeight="1">
      <c r="A934" s="181">
        <f t="shared" si="313"/>
        <v>45292</v>
      </c>
      <c r="B934" s="485"/>
      <c r="C934" s="490"/>
      <c r="D934" s="521"/>
      <c r="E934" s="218" t="e">
        <f>DATE(YEAR(E933),MONTH(E933)+3,DAY(E933)-1)</f>
        <v>#NUM!</v>
      </c>
      <c r="F934" s="212" t="e">
        <f t="shared" si="321"/>
        <v>#NUM!</v>
      </c>
      <c r="G934" s="213" t="e">
        <f t="shared" si="322"/>
        <v>#NUM!</v>
      </c>
      <c r="H934" s="212" t="e">
        <f t="shared" si="323"/>
        <v>#NUM!</v>
      </c>
      <c r="I934" s="219">
        <f>MAX(I935:I938)</f>
        <v>9</v>
      </c>
      <c r="J934" s="220" t="e">
        <f>DATE(YEAR(J933)+1,MONTH(J933),DAY(J933))</f>
        <v>#NUM!</v>
      </c>
      <c r="K934" s="506" t="str">
        <f t="shared" si="314"/>
        <v>+Inflat.-P</v>
      </c>
      <c r="L934" s="508" t="e">
        <f>IF(M929="Stufe A",IF(AND(L930="Auswahl treffen",D933&gt;=0,D933&lt;=1000),J929,IF(AND(L930="Vermögend und ambulant",D933&gt;8,D933&lt;=1000),130,IF(AND(L930="Vermögend und ambulant",D933&gt;4,D933&lt;=8),158,IF(AND(L930="Vermögend und ambulant",D933&gt;2,D933&lt;=4),192,IF(AND(L930="Vermögend und ambulant",D933&gt;1,D933&lt;=2),208,IF(AND(L930="Vermögend und ambulant",D933&gt;0,D933&lt;=1),298,IF(AND(L930="Vermögend und stationär",D933&gt;8,D933&lt;=1000),78,IF(AND(L930="Vermögend und stationär",D933&gt;4,D933&lt;=8),91,IF(AND(L930="Vermögend und stationär",D933&gt;2,D933&lt;=4),140,IF(AND(L930="Vermögend und stationär",D933&gt;1,D933&lt;=2),158,IF(AND(L930="Vermögend und stationär",D933&gt;0,D933&lt;=1),200,IF(AND(L930="Mittellos und ambulant",D933&gt;8,D933&lt;=1000),105,IF(AND(L930="Mittellos und ambulant",D933&gt;4,D933&lt;=8),122,IF(AND(L930="Mittellos und ambulant",D933&gt;2,D933&lt;=4),151,IF(AND(L930="Mittellos und ambulant",D933&gt;1,D933&lt;=2),170,IF(AND(L930="Mittellos und ambulant",D933&gt;0,D933&lt;=1),208,IF(AND(L930="Mittellos und stationär",D933&gt;8,D933&lt;=1000),62,IF(AND(L930="Mittellos und stationär",D933&gt;4,D933&lt;=8),87,IF(AND(L930="Mittellos und stationär",D933&gt;2,D933&lt;=4),124,IF(AND(L930="Mittellos und stationär",D933&gt;1,D933&lt;=2),129,IF(AND(L930="Mittellos und stationär",D933&gt;0,D933&lt;=1),194,""))))))))))))))))))))),IF(M929="Stufe B",IF(AND(L930="Auswahl treffen",D933&gt;=0,D933&lt;=1000),J929,IF(AND(L930="Vermögend und ambulant",D933&gt;8,D933&lt;=1000),161,IF(AND(L930="Vermögend und ambulant",D933&gt;4,D933&lt;=8),196,IF(AND(L930="Vermögend und ambulant",D933&gt;2,D933&lt;=4),238,IF(AND(L930="Vermögend und ambulant",D933&gt;1,D933&lt;=2),258,IF(AND(L930="Vermögend und ambulant",D933&gt;0,D933&lt;=1),370,IF(AND(L930="Vermögend und stationär",D933&gt;8,D933&lt;=1000),96,IF(AND(L930="Vermögend und stationär",D933&gt;4,D933&lt;=8),113,IF(AND(L930="Vermögend und stationär",D933&gt;2,D933&lt;=4),174,IF(AND(L930="Vermögend und stationär",D933&gt;1,D933&lt;=2),196,IF(AND(L930="Vermögend und stationär",D933&gt;0,D933&lt;=1),249,IF(AND(L930="Mittellos und ambulant",D933&gt;8,D933&lt;=1000),130,IF(AND(L930="Mittellos und ambulant",D933&gt;4,D933&lt;=8),151,IF(AND(L930="Mittellos und ambulant",D933&gt;2,D933&lt;=4),188,IF(AND(L930="Mittellos und ambulant",D933&gt;1,D933&lt;=2),211,IF(AND(L930="Mittellos und ambulant",D933&gt;0,D933&lt;=1),258,IF(AND(L930="Mittellos und stationär",D933&gt;8,D933&lt;=1000),78,IF(AND(L930="Mittellos und stationär",D933&gt;4,D933&lt;=8),107,IF(AND(L930="Mittellos und stationär",D933&gt;2,D933&lt;=4),154,IF(AND(L930="Mittellos und stationär",D933&gt;1,D933&lt;=2),158,IF(AND(L930="Mittellos und stationär",D933&gt;0,D933&lt;=1),241,""))))))))))))))))))))),IF(M929="Stufe C",IF(AND(L930="Auswahl treffen",D933&gt;=0,D933&lt;=1000),J929,IF(AND(L930="Vermögend und ambulant",D933&gt;8,D933&lt;=1000),211,IF(AND(L930="Vermögend und ambulant",D933&gt;4,D933&lt;=8),257,IF(AND(L930="Vermögend und ambulant",D933&gt;2,D933&lt;=4),312,IF(AND(L930="Vermögend und ambulant",D933&gt;1,D933&lt;=2),339,IF(AND(L930="Vermögend und ambulant",D933&gt;0,D933&lt;=1),486,IF(AND(L930="Vermögend und stationär",D933&gt;8,D933&lt;=1000),127,IF(AND(L930="Vermögend und stationär",D933&gt;4,D933&lt;=8),149,IF(AND(L930="Vermögend und stationär",D933&gt;2,D933&lt;=4),229,IF(AND(L930="Vermögend und stationär",D933&gt;1,D933&lt;=2),257,IF(AND(L930="Vermögend und stationär",D933&gt;0,D933&lt;=1),327,IF(AND(L930="Mittellos und ambulant",D933&gt;8,D933&lt;=1000),171,IF(AND(L930="Mittellos und ambulant",D933&gt;4,D933&lt;=8),198,IF(AND(L930="Mittellos und ambulant",D933&gt;2,D933&lt;=4),246,IF(AND(L930="Mittellos und ambulant",D933&gt;1,D933&lt;=2),277,IF(AND(L930="Mittellos und ambulant",D933&gt;0,D933&lt;=1),339,IF(AND(L930="Mittellos und stationär",D933&gt;8,D933&lt;=1000),102,IF(AND(L930="Mittellos und stationär",D933&gt;4,D933&lt;=8),141,IF(AND(L930="Mittellos und stationär",D933&gt;2,D933&lt;=4),202,IF(AND(L930="Mittellos und stationär",D933&gt;1,D933&lt;=2),208,IF(AND(L930="Mittellos und stationär",D933&gt;0,D933&lt;=1),317,""))))))))))))))))))))),"")))*3+(J929*90)</f>
        <v>#NUM!</v>
      </c>
      <c r="M934" s="507" t="str">
        <f>CONCATENATE(K934, K933)</f>
        <v>+Inflat.-P</v>
      </c>
      <c r="N934" s="216"/>
      <c r="O934" s="188" t="s">
        <v>118</v>
      </c>
      <c r="P934" s="188"/>
      <c r="Q934" s="221"/>
      <c r="R934" s="199"/>
      <c r="S934" s="190"/>
      <c r="T934" s="190"/>
      <c r="U934" s="191"/>
      <c r="V934" s="192"/>
      <c r="W934" s="222" t="s">
        <v>118</v>
      </c>
      <c r="X934" s="222" t="s">
        <v>117</v>
      </c>
      <c r="Y934" s="191" t="s">
        <v>26</v>
      </c>
      <c r="Z934" s="192"/>
      <c r="AA934" s="190"/>
      <c r="AB934" s="190"/>
      <c r="AC934" s="191"/>
      <c r="AD934" s="192"/>
      <c r="AE934" s="190"/>
      <c r="AF934" s="190"/>
      <c r="AG934" s="191"/>
      <c r="AH934" s="193"/>
      <c r="AI934" s="190"/>
      <c r="AJ934" s="190"/>
      <c r="AK934" s="374"/>
      <c r="AL934" s="348" t="s">
        <v>149</v>
      </c>
      <c r="AM934" s="354"/>
      <c r="AN934" s="354">
        <f>IF(SUM(O930:O938)=SUM(W930:W938), 0, SUM(O930:O938)-SUM(W930:W938))</f>
        <v>0</v>
      </c>
      <c r="AO934" s="354"/>
      <c r="AP934" s="354"/>
      <c r="AQ934" s="350">
        <f>AM934+AN934+AO934+AP934</f>
        <v>0</v>
      </c>
      <c r="AR934" s="769"/>
      <c r="AS934" s="769"/>
      <c r="AT934" s="769"/>
      <c r="BM934" s="335"/>
    </row>
    <row r="935" spans="1:65" ht="22.25" customHeight="1">
      <c r="A935" s="181">
        <f t="shared" si="313"/>
        <v>45292</v>
      </c>
      <c r="B935" s="484">
        <f>YEAR($A936)-1</f>
        <v>2023</v>
      </c>
      <c r="C935" s="489" t="s">
        <v>158</v>
      </c>
      <c r="D935" s="520" t="e">
        <f>D933+1</f>
        <v>#NUM!</v>
      </c>
      <c r="E935" s="194" t="e">
        <f>DATE(YEAR(E934),MONTH(E934),DAY(E934)+1)</f>
        <v>#NUM!</v>
      </c>
      <c r="F935" s="195" t="e">
        <f t="shared" si="321"/>
        <v>#NUM!</v>
      </c>
      <c r="G935" s="196" t="e">
        <f t="shared" si="322"/>
        <v>#NUM!</v>
      </c>
      <c r="H935" s="195" t="e">
        <f t="shared" si="323"/>
        <v>#NUM!</v>
      </c>
      <c r="I935" s="197">
        <f>IF(J937&lt;13,J937,"")</f>
        <v>9</v>
      </c>
      <c r="J935" s="224">
        <f>G930</f>
        <v>0</v>
      </c>
      <c r="K935" s="501" t="str">
        <f t="shared" si="314"/>
        <v/>
      </c>
      <c r="L935" s="471"/>
      <c r="M935" s="473" t="e">
        <f ca="1">SUM(J930-E936)&amp;" Tage"</f>
        <v>#NUM!</v>
      </c>
      <c r="N935" s="200"/>
      <c r="O935" s="201"/>
      <c r="P935" s="201"/>
      <c r="Q935" s="202"/>
      <c r="R935" s="189"/>
      <c r="S935" s="203"/>
      <c r="T935" s="203"/>
      <c r="U935" s="204"/>
      <c r="V935" s="192"/>
      <c r="W935" s="203"/>
      <c r="X935" s="203"/>
      <c r="Y935" s="204"/>
      <c r="Z935" s="192"/>
      <c r="AA935" s="203"/>
      <c r="AB935" s="203"/>
      <c r="AC935" s="204"/>
      <c r="AD935" s="192"/>
      <c r="AE935" s="203"/>
      <c r="AF935" s="203"/>
      <c r="AG935" s="204"/>
      <c r="AH935" s="193"/>
      <c r="AI935" s="203"/>
      <c r="AJ935" s="203"/>
      <c r="AK935" s="375"/>
      <c r="AL935" s="348"/>
      <c r="AM935" s="354"/>
      <c r="AN935" s="354"/>
      <c r="AO935" s="354"/>
      <c r="AP935" s="354"/>
      <c r="AQ935" s="350"/>
      <c r="AR935" s="769"/>
      <c r="AS935" s="769"/>
      <c r="AT935" s="769"/>
      <c r="BM935" s="335"/>
    </row>
    <row r="936" spans="1:65" ht="22.25" customHeight="1">
      <c r="A936" s="181">
        <f t="shared" si="313"/>
        <v>45292</v>
      </c>
      <c r="B936" s="485"/>
      <c r="C936" s="490"/>
      <c r="D936" s="521"/>
      <c r="E936" s="194" t="e">
        <f>DATE(YEAR(E935),MONTH(E935)+3,DAY(E935)-1)</f>
        <v>#NUM!</v>
      </c>
      <c r="F936" s="195" t="e">
        <f t="shared" si="321"/>
        <v>#NUM!</v>
      </c>
      <c r="G936" s="196" t="e">
        <f t="shared" si="322"/>
        <v>#NUM!</v>
      </c>
      <c r="H936" s="195" t="e">
        <f t="shared" si="323"/>
        <v>#NUM!</v>
      </c>
      <c r="I936" s="244">
        <f>IF(J938&lt;13,J938,"")</f>
        <v>6</v>
      </c>
      <c r="J936" s="224">
        <f>J935+3</f>
        <v>3</v>
      </c>
      <c r="K936" s="501" t="str">
        <f t="shared" si="314"/>
        <v>+Inflat.-P</v>
      </c>
      <c r="L936" s="511" t="e">
        <f>IF(M929="Stufe A",IF(AND(L930="Auswahl treffen",D935&gt;=0,D935&lt;=1000),J929,IF(AND(L930="Vermögend und ambulant",D935&gt;8,D935&lt;=1000),130,IF(AND(L930="Vermögend und ambulant",D935&gt;4,D935&lt;=8),158,IF(AND(L930="Vermögend und ambulant",D935&gt;2,D935&lt;=4),192,IF(AND(L930="Vermögend und ambulant",D935&gt;1,D935&lt;=2),208,IF(AND(L930="Vermögend und ambulant",D935&gt;0,D935&lt;=1),298,IF(AND(L930="Vermögend und stationär",D935&gt;8,D935&lt;=1000),78,IF(AND(L930="Vermögend und stationär",D935&gt;4,D935&lt;=8),91,IF(AND(L930="Vermögend und stationär",D935&gt;2,D935&lt;=4),140,IF(AND(L930="Vermögend und stationär",D935&gt;1,D935&lt;=2),158,IF(AND(L930="Vermögend und stationär",D935&gt;0,D935&lt;=1),200,IF(AND(L930="Mittellos und ambulant",D935&gt;8,D935&lt;=1000),105,IF(AND(L930="Mittellos und ambulant",D935&gt;4,D935&lt;=8),122,IF(AND(L930="Mittellos und ambulant",D935&gt;2,D935&lt;=4),151,IF(AND(L930="Mittellos und ambulant",D935&gt;1,D935&lt;=2),170,IF(AND(L930="Mittellos und ambulant",D935&gt;0,D935&lt;=1),208,IF(AND(L930="Mittellos und stationär",D935&gt;8,D935&lt;=1000),62,IF(AND(L930="Mittellos und stationär",D935&gt;4,D935&lt;=8),87,IF(AND(L930="Mittellos und stationär",D935&gt;2,D935&lt;=4),124,IF(AND(L930="Mittellos und stationär",D935&gt;1,D935&lt;=2),129,IF(AND(L930="Mittellos und stationär",D935&gt;0,D935&lt;=1),194,""))))))))))))))))))))),IF(M929="Stufe B",IF(AND(L930="Auswahl treffen",D935&gt;=0,D935&lt;=1000),J929,IF(AND(L930="Vermögend und ambulant",D935&gt;8,D935&lt;=1000),161,IF(AND(L930="Vermögend und ambulant",D935&gt;4,D935&lt;=8),196,IF(AND(L930="Vermögend und ambulant",D935&gt;2,D935&lt;=4),238,IF(AND(L930="Vermögend und ambulant",D935&gt;1,D935&lt;=2),258,IF(AND(L930="Vermögend und ambulant",D935&gt;0,D935&lt;=1),370,IF(AND(L930="Vermögend und stationär",D935&gt;8,D935&lt;=1000),96,IF(AND(L930="Vermögend und stationär",D935&gt;4,D935&lt;=8),113,IF(AND(L930="Vermögend und stationär",D935&gt;2,D935&lt;=4),174,IF(AND(L930="Vermögend und stationär",D935&gt;1,D935&lt;=2),196,IF(AND(L930="Vermögend und stationär",D935&gt;0,D935&lt;=1),249,IF(AND(L930="Mittellos und ambulant",D935&gt;8,D935&lt;=1000),130,IF(AND(L930="Mittellos und ambulant",D935&gt;4,D935&lt;=8),151,IF(AND(L930="Mittellos und ambulant",D935&gt;2,D935&lt;=4),188,IF(AND(L930="Mittellos und ambulant",D935&gt;1,D935&lt;=2),211,IF(AND(L930="Mittellos und ambulant",D935&gt;0,D935&lt;=1),258,IF(AND(L930="Mittellos und stationär",D935&gt;8,D935&lt;=1000),78,IF(AND(L930="Mittellos und stationär",D935&gt;4,D935&lt;=8),107,IF(AND(L930="Mittellos und stationär",D935&gt;2,D935&lt;=4),154,IF(AND(L930="Mittellos und stationär",D935&gt;1,D935&lt;=2),158,IF(AND(L930="Mittellos und stationär",D935&gt;0,D935&lt;=1),241,""))))))))))))))))))))),IF(M929="Stufe C",IF(AND(L930="Auswahl treffen",D935&gt;=0,D935&lt;=1000),J929,IF(AND(L930="Vermögend und ambulant",D935&gt;8,D935&lt;=1000),211,IF(AND(L930="Vermögend und ambulant",D935&gt;4,D935&lt;=8),257,IF(AND(L930="Vermögend und ambulant",D935&gt;2,D935&lt;=4),312,IF(AND(L930="Vermögend und ambulant",D935&gt;1,D935&lt;=2),339,IF(AND(L930="Vermögend und ambulant",D935&gt;0,D935&lt;=1),486,IF(AND(L930="Vermögend und stationär",D935&gt;8,D935&lt;=1000),127,IF(AND(L930="Vermögend und stationär",D935&gt;4,D935&lt;=8),149,IF(AND(L930="Vermögend und stationär",D935&gt;2,D935&lt;=4),229,IF(AND(L930="Vermögend und stationär",D935&gt;1,D935&lt;=2),257,IF(AND(L930="Vermögend und stationär",D935&gt;0,D935&lt;=1),327,IF(AND(L930="Mittellos und ambulant",D935&gt;8,D935&lt;=1000),171,IF(AND(L930="Mittellos und ambulant",D935&gt;4,D935&lt;=8),198,IF(AND(L930="Mittellos und ambulant",D935&gt;2,D935&lt;=4),246,IF(AND(L930="Mittellos und ambulant",D935&gt;1,D935&lt;=2),277,IF(AND(L930="Mittellos und ambulant",D935&gt;0,D935&lt;=1),339,IF(AND(L930="Mittellos und stationär",D935&gt;8,D935&lt;=1000),102,IF(AND(L930="Mittellos und stationär",D935&gt;4,D935&lt;=8),141,IF(AND(L930="Mittellos und stationär",D935&gt;2,D935&lt;=4),202,IF(AND(L930="Mittellos und stationär",D935&gt;1,D935&lt;=2),208,IF(AND(L930="Mittellos und stationär",D935&gt;0,D935&lt;=1),317,""))))))))))))))))))))),"")))*3+(J929*90)</f>
        <v>#NUM!</v>
      </c>
      <c r="M936" s="507" t="str">
        <f>CONCATENATE(K936, K935)</f>
        <v>+Inflat.-P</v>
      </c>
      <c r="N936" s="206"/>
      <c r="O936" s="207"/>
      <c r="P936" s="206" t="s">
        <v>118</v>
      </c>
      <c r="Q936" s="226"/>
      <c r="R936" s="189"/>
      <c r="S936" s="203"/>
      <c r="T936" s="203"/>
      <c r="U936" s="204"/>
      <c r="V936" s="192"/>
      <c r="W936" s="203"/>
      <c r="X936" s="203"/>
      <c r="Y936" s="204"/>
      <c r="Z936" s="192"/>
      <c r="AA936" s="209" t="s">
        <v>118</v>
      </c>
      <c r="AB936" s="209" t="s">
        <v>117</v>
      </c>
      <c r="AC936" s="204" t="s">
        <v>26</v>
      </c>
      <c r="AD936" s="192"/>
      <c r="AE936" s="203"/>
      <c r="AF936" s="203"/>
      <c r="AG936" s="204"/>
      <c r="AH936" s="193"/>
      <c r="AI936" s="203"/>
      <c r="AJ936" s="203"/>
      <c r="AK936" s="375"/>
      <c r="AL936" s="348" t="s">
        <v>150</v>
      </c>
      <c r="AM936" s="354"/>
      <c r="AN936" s="354"/>
      <c r="AO936" s="354">
        <f>IF(SUM(P930:P938)=SUM(AA930:AA938), 0, SUM(P930:P938)-SUM(AA930:AA938))</f>
        <v>0</v>
      </c>
      <c r="AP936" s="354"/>
      <c r="AQ936" s="350">
        <f>AM936+AN936+AO936+AP936</f>
        <v>0</v>
      </c>
      <c r="AR936" s="769"/>
      <c r="AS936" s="769"/>
      <c r="AT936" s="769"/>
      <c r="BM936" s="335"/>
    </row>
    <row r="937" spans="1:65" ht="22.25" customHeight="1">
      <c r="A937" s="181">
        <f t="shared" si="313"/>
        <v>45292</v>
      </c>
      <c r="B937" s="486"/>
      <c r="C937" s="489" t="s">
        <v>158</v>
      </c>
      <c r="D937" s="522" t="e">
        <f>D935+1</f>
        <v>#NUM!</v>
      </c>
      <c r="E937" s="211" t="e">
        <f>DATE(YEAR(E936),MONTH(E936),DAY(E936)+1)</f>
        <v>#NUM!</v>
      </c>
      <c r="F937" s="227" t="e">
        <f t="shared" si="321"/>
        <v>#NUM!</v>
      </c>
      <c r="G937" s="228" t="e">
        <f t="shared" si="322"/>
        <v>#NUM!</v>
      </c>
      <c r="H937" s="227" t="e">
        <f t="shared" si="323"/>
        <v>#NUM!</v>
      </c>
      <c r="I937" s="231">
        <f>IF(J936&lt;13,J936,"")</f>
        <v>3</v>
      </c>
      <c r="J937" s="230">
        <f>J938+3</f>
        <v>9</v>
      </c>
      <c r="K937" s="506" t="str">
        <f t="shared" si="314"/>
        <v/>
      </c>
      <c r="L937" s="471"/>
      <c r="M937" s="473" t="e">
        <f ca="1">SUM(J930-E938)&amp;" Tage"</f>
        <v>#NUM!</v>
      </c>
      <c r="N937" s="216"/>
      <c r="O937" s="188"/>
      <c r="P937" s="188"/>
      <c r="Q937" s="217"/>
      <c r="R937" s="189"/>
      <c r="S937" s="190"/>
      <c r="T937" s="190"/>
      <c r="U937" s="191"/>
      <c r="V937" s="192"/>
      <c r="W937" s="190"/>
      <c r="X937" s="190"/>
      <c r="Y937" s="191"/>
      <c r="Z937" s="192"/>
      <c r="AA937" s="190"/>
      <c r="AB937" s="190"/>
      <c r="AC937" s="191"/>
      <c r="AD937" s="192"/>
      <c r="AE937" s="190"/>
      <c r="AF937" s="190"/>
      <c r="AG937" s="191"/>
      <c r="AH937" s="193"/>
      <c r="AI937" s="190"/>
      <c r="AJ937" s="190"/>
      <c r="AK937" s="374"/>
      <c r="AL937" s="348"/>
      <c r="AM937" s="354"/>
      <c r="AN937" s="354"/>
      <c r="AO937" s="354"/>
      <c r="AP937" s="354"/>
      <c r="AQ937" s="350"/>
      <c r="AR937" s="769"/>
      <c r="AS937" s="769"/>
      <c r="AT937" s="769"/>
      <c r="BM937" s="335"/>
    </row>
    <row r="938" spans="1:65" ht="22.25" customHeight="1">
      <c r="A938" s="181">
        <f t="shared" si="313"/>
        <v>45292</v>
      </c>
      <c r="B938" s="485"/>
      <c r="C938" s="490"/>
      <c r="D938" s="521"/>
      <c r="E938" s="218" t="e">
        <f>DATE(YEAR(E937),MONTH(E937)+3,DAY(E937)-1)</f>
        <v>#NUM!</v>
      </c>
      <c r="F938" s="227" t="e">
        <f t="shared" si="321"/>
        <v>#NUM!</v>
      </c>
      <c r="G938" s="228" t="e">
        <f t="shared" si="322"/>
        <v>#NUM!</v>
      </c>
      <c r="H938" s="227" t="e">
        <f t="shared" si="323"/>
        <v>#NUM!</v>
      </c>
      <c r="I938" s="231">
        <f>IF(J935&lt;13,J935,"")</f>
        <v>0</v>
      </c>
      <c r="J938" s="230">
        <f>J936+3</f>
        <v>6</v>
      </c>
      <c r="K938" s="501" t="str">
        <f t="shared" si="314"/>
        <v>+Inflat.-P</v>
      </c>
      <c r="L938" s="508" t="e">
        <f>IF(M929="Stufe A",IF(AND(L930="Auswahl treffen",D937&gt;=0,D937&lt;=1000),J929,IF(AND(L930="Vermögend und ambulant",D937&gt;8,D937&lt;=1000),130,IF(AND(L930="Vermögend und ambulant",D937&gt;4,D937&lt;=8),158,IF(AND(L930="Vermögend und ambulant",D937&gt;2,D937&lt;=4),192,IF(AND(L930="Vermögend und ambulant",D937&gt;1,D937&lt;=2),208,IF(AND(L930="Vermögend und ambulant",D937&gt;0,D937&lt;=1),298,IF(AND(L930="Vermögend und stationär",D937&gt;8,D937&lt;=1000),78,IF(AND(L930="Vermögend und stationär",D937&gt;4,D937&lt;=8),91,IF(AND(L930="Vermögend und stationär",D937&gt;2,D937&lt;=4),140,IF(AND(L930="Vermögend und stationär",D937&gt;1,D937&lt;=2),158,IF(AND(L930="Vermögend und stationär",D937&gt;0,D937&lt;=1),200,IF(AND(L930="Mittellos und ambulant",D937&gt;8,D937&lt;=1000),105,IF(AND(L930="Mittellos und ambulant",D937&gt;4,D937&lt;=8),122,IF(AND(L930="Mittellos und ambulant",D937&gt;2,D937&lt;=4),151,IF(AND(L930="Mittellos und ambulant",D937&gt;1,D937&lt;=2),170,IF(AND(L930="Mittellos und ambulant",D937&gt;0,D937&lt;=1),208,IF(AND(L930="Mittellos und stationär",D937&gt;8,D937&lt;=1000),62,IF(AND(L930="Mittellos und stationär",D937&gt;4,D937&lt;=8),87,IF(AND(L930="Mittellos und stationär",D937&gt;2,D937&lt;=4),124,IF(AND(L930="Mittellos und stationär",D937&gt;1,D937&lt;=2),129,IF(AND(L930="Mittellos und stationär",D937&gt;0,D937&lt;=1),194,""))))))))))))))))))))),IF(M929="Stufe B",IF(AND(L930="Auswahl treffen",D937&gt;=0,D937&lt;=1000),J929,IF(AND(L930="Vermögend und ambulant",D937&gt;8,D937&lt;=1000),161,IF(AND(L930="Vermögend und ambulant",D937&gt;4,D937&lt;=8),196,IF(AND(L930="Vermögend und ambulant",D937&gt;2,D937&lt;=4),238,IF(AND(L930="Vermögend und ambulant",D937&gt;1,D937&lt;=2),258,IF(AND(L930="Vermögend und ambulant",D937&gt;0,D937&lt;=1),370,IF(AND(L930="Vermögend und stationär",D937&gt;8,D937&lt;=1000),96,IF(AND(L930="Vermögend und stationär",D937&gt;4,D937&lt;=8),113,IF(AND(L930="Vermögend und stationär",D937&gt;2,D937&lt;=4),174,IF(AND(L930="Vermögend und stationär",D937&gt;1,D937&lt;=2),196,IF(AND(L930="Vermögend und stationär",D937&gt;0,D937&lt;=1),249,IF(AND(L930="Mittellos und ambulant",D937&gt;8,D937&lt;=1000),130,IF(AND(L930="Mittellos und ambulant",D937&gt;4,D937&lt;=8),151,IF(AND(L930="Mittellos und ambulant",D937&gt;2,D937&lt;=4),188,IF(AND(L930="Mittellos und ambulant",D937&gt;1,D937&lt;=2),211,IF(AND(L930="Mittellos und ambulant",D937&gt;0,D937&lt;=1),258,IF(AND(L930="Mittellos und stationär",D937&gt;8,D937&lt;=1000),78,IF(AND(L930="Mittellos und stationär",D937&gt;4,D937&lt;=8),107,IF(AND(L930="Mittellos und stationär",D937&gt;2,D937&lt;=4),154,IF(AND(L930="Mittellos und stationär",D937&gt;1,D937&lt;=2),158,IF(AND(L930="Mittellos und stationär",D937&gt;0,D937&lt;=1),241,""))))))))))))))))))))),IF(M929="Stufe C",IF(AND(L930="Auswahl treffen",D937&gt;=0,D937&lt;=1000),J929,IF(AND(L930="Vermögend und ambulant",D937&gt;8,D937&lt;=1000),211,IF(AND(L930="Vermögend und ambulant",D937&gt;4,D937&lt;=8),257,IF(AND(L930="Vermögend und ambulant",D937&gt;2,D937&lt;=4),312,IF(AND(L930="Vermögend und ambulant",D937&gt;1,D937&lt;=2),339,IF(AND(L930="Vermögend und ambulant",D937&gt;0,D937&lt;=1),486,IF(AND(L930="Vermögend und stationär",D937&gt;8,D937&lt;=1000),127,IF(AND(L930="Vermögend und stationär",D937&gt;4,D937&lt;=8),149,IF(AND(L930="Vermögend und stationär",D937&gt;2,D937&lt;=4),229,IF(AND(L930="Vermögend und stationär",D937&gt;1,D937&lt;=2),257,IF(AND(L930="Vermögend und stationär",D937&gt;0,D937&lt;=1),327,IF(AND(L930="Mittellos und ambulant",D937&gt;8,D937&lt;=1000),171,IF(AND(L930="Mittellos und ambulant",D937&gt;4,D937&lt;=8),198,IF(AND(L930="Mittellos und ambulant",D937&gt;2,D937&lt;=4),246,IF(AND(L930="Mittellos und ambulant",D937&gt;1,D937&lt;=2),277,IF(AND(L930="Mittellos und ambulant",D937&gt;0,D937&lt;=1),339,IF(AND(L930="Mittellos und stationär",D937&gt;8,D937&lt;=1000),102,IF(AND(L930="Mittellos und stationär",D937&gt;4,D937&lt;=8),141,IF(AND(L930="Mittellos und stationär",D937&gt;2,D937&lt;=4),202,IF(AND(L930="Mittellos und stationär",D937&gt;1,D937&lt;=2),208,IF(AND(L930="Mittellos und stationär",D937&gt;0,D937&lt;=1),317,""))))))))))))))))))))),"")))*3+(J929*90)</f>
        <v>#NUM!</v>
      </c>
      <c r="M938" s="507" t="str">
        <f>CONCATENATE(K938, K937)</f>
        <v>+Inflat.-P</v>
      </c>
      <c r="N938" s="216"/>
      <c r="O938" s="188"/>
      <c r="P938" s="188"/>
      <c r="Q938" s="217" t="s">
        <v>118</v>
      </c>
      <c r="R938" s="189"/>
      <c r="S938" s="190"/>
      <c r="T938" s="190"/>
      <c r="U938" s="191"/>
      <c r="V938" s="192"/>
      <c r="W938" s="190"/>
      <c r="X938" s="190"/>
      <c r="Y938" s="191"/>
      <c r="Z938" s="192"/>
      <c r="AA938" s="190"/>
      <c r="AB938" s="190"/>
      <c r="AC938" s="191"/>
      <c r="AD938" s="192"/>
      <c r="AE938" s="190" t="s">
        <v>118</v>
      </c>
      <c r="AF938" s="190" t="s">
        <v>117</v>
      </c>
      <c r="AG938" s="191" t="s">
        <v>26</v>
      </c>
      <c r="AH938" s="193"/>
      <c r="AI938" s="190" t="s">
        <v>118</v>
      </c>
      <c r="AJ938" s="190" t="s">
        <v>117</v>
      </c>
      <c r="AK938" s="374" t="s">
        <v>26</v>
      </c>
      <c r="AL938" s="348" t="s">
        <v>151</v>
      </c>
      <c r="AM938" s="354"/>
      <c r="AN938" s="354"/>
      <c r="AO938" s="354"/>
      <c r="AP938" s="354">
        <f>IF(SUM(Q930:Q938)=SUM(AE930:AE938,AI930:AI938), 0, SUM(Q930:Q938)-SUM(AE930:AE938,AI930:AI938))</f>
        <v>0</v>
      </c>
      <c r="AQ938" s="350">
        <f>AM938+AN938+AO938+AP938</f>
        <v>0</v>
      </c>
      <c r="AR938" s="769"/>
      <c r="AS938" s="769"/>
      <c r="AT938" s="769"/>
      <c r="BM938" s="335"/>
    </row>
    <row r="939" spans="1:65" ht="22" customHeight="1">
      <c r="A939" s="181">
        <f t="shared" si="313"/>
        <v>45292</v>
      </c>
      <c r="B939" s="232" t="s">
        <v>74</v>
      </c>
      <c r="C939" s="233" t="s">
        <v>75</v>
      </c>
      <c r="D939" s="234" t="s">
        <v>76</v>
      </c>
      <c r="E939" s="235" t="s">
        <v>11</v>
      </c>
      <c r="F939" s="235" t="s">
        <v>4</v>
      </c>
      <c r="G939" s="235" t="s">
        <v>5</v>
      </c>
      <c r="H939" s="235" t="s">
        <v>6</v>
      </c>
      <c r="I939" s="236" t="s">
        <v>77</v>
      </c>
      <c r="J939" s="306"/>
      <c r="K939" s="506" t="str">
        <f t="shared" si="314"/>
        <v/>
      </c>
      <c r="L939" s="306" t="str">
        <f>IFERROR(VLOOKUP(B940,'Aktuelle Einnahmen'!A2:J104,10,0),"")</f>
        <v/>
      </c>
      <c r="M939" s="510" t="str">
        <f>M929</f>
        <v>Stufe C</v>
      </c>
      <c r="N939" s="237"/>
      <c r="O939" s="238"/>
      <c r="P939" s="238"/>
      <c r="Q939" s="239"/>
      <c r="R939" s="240"/>
      <c r="S939" s="241"/>
      <c r="T939" s="241"/>
      <c r="U939" s="242"/>
      <c r="V939" s="243"/>
      <c r="W939" s="241"/>
      <c r="X939" s="241"/>
      <c r="Y939" s="242"/>
      <c r="Z939" s="243"/>
      <c r="AA939" s="241"/>
      <c r="AB939" s="241"/>
      <c r="AC939" s="242"/>
      <c r="AD939" s="243"/>
      <c r="AE939" s="241"/>
      <c r="AF939" s="241"/>
      <c r="AG939" s="242"/>
      <c r="AH939" s="240"/>
      <c r="AI939" s="241"/>
      <c r="AJ939" s="241"/>
      <c r="AK939" s="377"/>
      <c r="AL939" s="347"/>
      <c r="AM939" s="353"/>
      <c r="AN939" s="353"/>
      <c r="AO939" s="353"/>
      <c r="AP939" s="353"/>
      <c r="AQ939" s="349"/>
      <c r="AR939" s="768"/>
      <c r="AS939" s="768"/>
      <c r="AT939" s="768"/>
      <c r="BM939" s="335"/>
    </row>
    <row r="940" spans="1:65" ht="23" customHeight="1">
      <c r="A940" s="181">
        <f t="shared" si="313"/>
        <v>45292</v>
      </c>
      <c r="B940" s="182">
        <v>94</v>
      </c>
      <c r="C940" s="245">
        <f>IFERROR(VLOOKUP($B940,'Aktuelle Einnahmen'!A2:G104,3,0),"")</f>
        <v>0</v>
      </c>
      <c r="D940" s="246">
        <f>IFERROR(VLOOKUP($B940,'Aktuelle Einnahmen'!A2:G104,2,0),"")</f>
        <v>0</v>
      </c>
      <c r="E940" s="247">
        <f>IFERROR(VLOOKUP($B940,'Aktuelle Einnahmen'!A2:G104,4,0),"")</f>
        <v>0</v>
      </c>
      <c r="F940" s="94">
        <f>IFERROR(VLOOKUP($B940,'Aktuelle Einnahmen'!A2:G104,5,0),"")</f>
        <v>0</v>
      </c>
      <c r="G940" s="94">
        <f>IFERROR(VLOOKUP($B940,'Aktuelle Einnahmen'!A2:G104,6,0),"")</f>
        <v>0</v>
      </c>
      <c r="H940" s="94">
        <f>IFERROR(VLOOKUP($B940,'Aktuelle Einnahmen'!A2:G104,7,0),"")</f>
        <v>0</v>
      </c>
      <c r="I940" s="186" t="e">
        <f>DATE(H940,G940,F940)</f>
        <v>#NUM!</v>
      </c>
      <c r="J940" s="472">
        <f ca="1">J930</f>
        <v>45475</v>
      </c>
      <c r="K940" s="501" t="str">
        <f t="shared" si="314"/>
        <v>+Inflat.-P</v>
      </c>
      <c r="L940" s="1262" t="str">
        <f>IFERROR(VLOOKUP(B940,'Aktuelle Einnahmen'!A22:I124,9,0),"")</f>
        <v>Auswahl treffen</v>
      </c>
      <c r="M940" s="1263"/>
      <c r="N940" s="261"/>
      <c r="O940" s="261"/>
      <c r="P940" s="261"/>
      <c r="Q940" s="261"/>
      <c r="R940" s="189"/>
      <c r="S940" s="190"/>
      <c r="T940" s="190"/>
      <c r="U940" s="191"/>
      <c r="V940" s="192"/>
      <c r="W940" s="190"/>
      <c r="X940" s="190"/>
      <c r="Y940" s="191"/>
      <c r="Z940" s="192"/>
      <c r="AA940" s="190"/>
      <c r="AB940" s="190"/>
      <c r="AC940" s="191"/>
      <c r="AD940" s="192"/>
      <c r="AE940" s="190"/>
      <c r="AF940" s="190"/>
      <c r="AG940" s="191"/>
      <c r="AH940" s="193"/>
      <c r="AI940" s="190"/>
      <c r="AJ940" s="190"/>
      <c r="AK940" s="374"/>
      <c r="AL940" s="348"/>
      <c r="AM940" s="354"/>
      <c r="AN940" s="354"/>
      <c r="AO940" s="354"/>
      <c r="AP940" s="354"/>
      <c r="AQ940" s="350"/>
      <c r="AR940" s="769"/>
      <c r="AS940" s="769"/>
      <c r="AT940" s="769"/>
      <c r="BM940" s="335"/>
    </row>
    <row r="941" spans="1:65" ht="22.25" customHeight="1">
      <c r="A941" s="181">
        <f t="shared" si="313"/>
        <v>45292</v>
      </c>
      <c r="B941" s="484" t="e">
        <f>DAY(I940)</f>
        <v>#NUM!</v>
      </c>
      <c r="C941" s="489" t="s">
        <v>158</v>
      </c>
      <c r="D941" s="520" t="e">
        <f>(I941*4)+J941/3+1</f>
        <v>#NUM!</v>
      </c>
      <c r="E941" s="194" t="e">
        <f>J943+1</f>
        <v>#NUM!</v>
      </c>
      <c r="F941" s="195" t="e">
        <f t="shared" ref="F941:F948" si="324">DAY(E941)</f>
        <v>#NUM!</v>
      </c>
      <c r="G941" s="196" t="e">
        <f t="shared" ref="G941:G948" si="325">MONTH(E941)</f>
        <v>#NUM!</v>
      </c>
      <c r="H941" s="195" t="e">
        <f t="shared" ref="H941:H948" si="326">YEAR(E941)</f>
        <v>#NUM!</v>
      </c>
      <c r="I941" s="197" t="e">
        <f>H941-(H940+2000)</f>
        <v>#NUM!</v>
      </c>
      <c r="J941" s="198" t="e">
        <f>G941-G940</f>
        <v>#NUM!</v>
      </c>
      <c r="K941" s="506" t="str">
        <f>L939</f>
        <v/>
      </c>
      <c r="L941" s="469"/>
      <c r="M941" s="473" t="e">
        <f ca="1">SUM(J940-E942)&amp;" Tage"</f>
        <v>#NUM!</v>
      </c>
      <c r="N941" s="206"/>
      <c r="O941" s="201"/>
      <c r="P941" s="201"/>
      <c r="Q941" s="202"/>
      <c r="R941" s="189"/>
      <c r="S941" s="203"/>
      <c r="T941" s="203"/>
      <c r="U941" s="204"/>
      <c r="V941" s="192"/>
      <c r="W941" s="203"/>
      <c r="X941" s="203"/>
      <c r="Y941" s="204"/>
      <c r="Z941" s="192"/>
      <c r="AA941" s="203"/>
      <c r="AB941" s="203"/>
      <c r="AC941" s="204"/>
      <c r="AD941" s="192"/>
      <c r="AE941" s="203"/>
      <c r="AF941" s="203"/>
      <c r="AG941" s="204"/>
      <c r="AH941" s="193"/>
      <c r="AI941" s="203"/>
      <c r="AJ941" s="203"/>
      <c r="AK941" s="375"/>
      <c r="AL941" s="348"/>
      <c r="AM941" s="354"/>
      <c r="AN941" s="354"/>
      <c r="AO941" s="354"/>
      <c r="AP941" s="354"/>
      <c r="AQ941" s="350"/>
      <c r="AR941" s="769"/>
      <c r="AS941" s="769"/>
      <c r="AT941" s="769"/>
      <c r="BM941" s="335"/>
    </row>
    <row r="942" spans="1:65" ht="22.25" customHeight="1">
      <c r="A942" s="181">
        <f t="shared" si="313"/>
        <v>45292</v>
      </c>
      <c r="B942" s="485"/>
      <c r="C942" s="490"/>
      <c r="D942" s="521"/>
      <c r="E942" s="194" t="e">
        <f>DATE(YEAR(E941),MONTH(E941)+3,DAY(E941)-1)</f>
        <v>#NUM!</v>
      </c>
      <c r="F942" s="195" t="e">
        <f t="shared" si="324"/>
        <v>#NUM!</v>
      </c>
      <c r="G942" s="196" t="e">
        <f t="shared" si="325"/>
        <v>#NUM!</v>
      </c>
      <c r="H942" s="195" t="e">
        <f t="shared" si="326"/>
        <v>#NUM!</v>
      </c>
      <c r="I942" s="244">
        <v>-1</v>
      </c>
      <c r="J942" s="198" t="e">
        <f>F941-F940</f>
        <v>#NUM!</v>
      </c>
      <c r="K942" s="501" t="str">
        <f t="shared" si="314"/>
        <v>+Inflat.-P</v>
      </c>
      <c r="L942" s="511" t="e">
        <f>IF(M939="Stufe A",IF(AND(L940="Auswahl treffen",D941&gt;=0,D941&lt;=1000),J939,IF(AND(L940="Vermögend und ambulant",D941&gt;8,D941&lt;=1000),130,IF(AND(L940="Vermögend und ambulant",D941&gt;4,D941&lt;=8),158,IF(AND(L940="Vermögend und ambulant",D941&gt;2,D941&lt;=4),192,IF(AND(L940="Vermögend und ambulant",D941&gt;1,D941&lt;=2),208,IF(AND(L940="Vermögend und ambulant",D941&gt;0,D941&lt;=1),298,IF(AND(L940="Vermögend und stationär",D941&gt;8,D941&lt;=1000),78,IF(AND(L940="Vermögend und stationär",D941&gt;4,D941&lt;=8),91,IF(AND(L940="Vermögend und stationär",D941&gt;2,D941&lt;=4),140,IF(AND(L940="Vermögend und stationär",D941&gt;1,D941&lt;=2),158,IF(AND(L940="Vermögend und stationär",D941&gt;0,D941&lt;=1),200,IF(AND(L940="Mittellos und ambulant",D941&gt;8,D941&lt;=1000),105,IF(AND(L940="Mittellos und ambulant",D941&gt;4,D941&lt;=8),122,IF(AND(L940="Mittellos und ambulant",D941&gt;2,D941&lt;=4),151,IF(AND(L940="Mittellos und ambulant",D941&gt;1,D941&lt;=2),170,IF(AND(L940="Mittellos und ambulant",D941&gt;0,D941&lt;=1),208,IF(AND(L940="Mittellos und stationär",D941&gt;8,D941&lt;=1000),62,IF(AND(L940="Mittellos und stationär",D941&gt;4,D941&lt;=8),87,IF(AND(L940="Mittellos und stationär",D941&gt;2,D941&lt;=4),124,IF(AND(L940="Mittellos und stationär",D941&gt;1,D941&lt;=2),129,IF(AND(L940="Mittellos und stationär",D941&gt;0,D941&lt;=1),194,""))))))))))))))))))))),IF(M939="Stufe B",IF(AND(L940="Auswahl treffen",D941&gt;=0,D941&lt;=1000),J939,IF(AND(L940="Vermögend und ambulant",D941&gt;8,D941&lt;=1000),161,IF(AND(L940="Vermögend und ambulant",D941&gt;4,D941&lt;=8),196,IF(AND(L940="Vermögend und ambulant",D941&gt;2,D941&lt;=4),238,IF(AND(L940="Vermögend und ambulant",D941&gt;1,D941&lt;=2),258,IF(AND(L940="Vermögend und ambulant",D941&gt;0,D941&lt;=1),370,IF(AND(L940="Vermögend und stationär",D941&gt;8,D941&lt;=1000),96,IF(AND(L940="Vermögend und stationär",D941&gt;4,D941&lt;=8),113,IF(AND(L940="Vermögend und stationär",D941&gt;2,D941&lt;=4),174,IF(AND(L940="Vermögend und stationär",D941&gt;1,D941&lt;=2),196,IF(AND(L940="Vermögend und stationär",D941&gt;0,D941&lt;=1),249,IF(AND(L940="Mittellos und ambulant",D941&gt;8,D941&lt;=1000),130,IF(AND(L940="Mittellos und ambulant",D941&gt;4,D941&lt;=8),151,IF(AND(L940="Mittellos und ambulant",D941&gt;2,D941&lt;=4),188,IF(AND(L940="Mittellos und ambulant",D941&gt;1,D941&lt;=2),211,IF(AND(L940="Mittellos und ambulant",D941&gt;0,D941&lt;=1),258,IF(AND(L940="Mittellos und stationär",D941&gt;8,D941&lt;=1000),78,IF(AND(L940="Mittellos und stationär",D941&gt;4,D941&lt;=8),107,IF(AND(L940="Mittellos und stationär",D941&gt;2,D941&lt;=4),154,IF(AND(L940="Mittellos und stationär",D941&gt;1,D941&lt;=2),158,IF(AND(L940="Mittellos und stationär",D941&gt;0,D941&lt;=1),241,""))))))))))))))))))))),IF(M939="Stufe C",IF(AND(L940="Auswahl treffen",D941&gt;=0,D941&lt;=1000),J939,IF(AND(L940="Vermögend und ambulant",D941&gt;8,D941&lt;=1000),211,IF(AND(L940="Vermögend und ambulant",D941&gt;4,D941&lt;=8),257,IF(AND(L940="Vermögend und ambulant",D941&gt;2,D941&lt;=4),312,IF(AND(L940="Vermögend und ambulant",D941&gt;1,D941&lt;=2),339,IF(AND(L940="Vermögend und ambulant",D941&gt;0,D941&lt;=1),486,IF(AND(L940="Vermögend und stationär",D941&gt;8,D941&lt;=1000),127,IF(AND(L940="Vermögend und stationär",D941&gt;4,D941&lt;=8),149,IF(AND(L940="Vermögend und stationär",D941&gt;2,D941&lt;=4),229,IF(AND(L940="Vermögend und stationär",D941&gt;1,D941&lt;=2),257,IF(AND(L940="Vermögend und stationär",D941&gt;0,D941&lt;=1),327,IF(AND(L940="Mittellos und ambulant",D941&gt;8,D941&lt;=1000),171,IF(AND(L940="Mittellos und ambulant",D941&gt;4,D941&lt;=8),198,IF(AND(L940="Mittellos und ambulant",D941&gt;2,D941&lt;=4),246,IF(AND(L940="Mittellos und ambulant",D941&gt;1,D941&lt;=2),277,IF(AND(L940="Mittellos und ambulant",D941&gt;0,D941&lt;=1),339,IF(AND(L940="Mittellos und stationär",D941&gt;8,D941&lt;=1000),102,IF(AND(L940="Mittellos und stationär",D941&gt;4,D941&lt;=8),141,IF(AND(L940="Mittellos und stationär",D941&gt;2,D941&lt;=4),202,IF(AND(L940="Mittellos und stationär",D941&gt;1,D941&lt;=2),208,IF(AND(L940="Mittellos und stationär",D941&gt;0,D941&lt;=1),317,""))))))))))))))))))))),"")))*3+(J939*90)</f>
        <v>#NUM!</v>
      </c>
      <c r="M942" s="507" t="str">
        <f>CONCATENATE(K942, K941)</f>
        <v>+Inflat.-P</v>
      </c>
      <c r="N942" s="206" t="s">
        <v>118</v>
      </c>
      <c r="O942" s="207"/>
      <c r="P942" s="207"/>
      <c r="Q942" s="208"/>
      <c r="R942" s="187"/>
      <c r="S942" s="209" t="s">
        <v>118</v>
      </c>
      <c r="T942" s="201" t="s">
        <v>117</v>
      </c>
      <c r="U942" s="210" t="s">
        <v>26</v>
      </c>
      <c r="V942" s="192"/>
      <c r="W942" s="203"/>
      <c r="X942" s="203"/>
      <c r="Y942" s="210"/>
      <c r="Z942" s="192"/>
      <c r="AA942" s="203"/>
      <c r="AB942" s="203"/>
      <c r="AC942" s="210"/>
      <c r="AD942" s="192"/>
      <c r="AE942" s="203"/>
      <c r="AF942" s="203"/>
      <c r="AG942" s="210"/>
      <c r="AH942" s="193"/>
      <c r="AI942" s="203"/>
      <c r="AJ942" s="203"/>
      <c r="AK942" s="376"/>
      <c r="AL942" s="348" t="s">
        <v>148</v>
      </c>
      <c r="AM942" s="354">
        <f>IF(SUM(N940:N948)=SUM(S940:S948), 0, SUM(N940:N948)-SUM(S940:S948))</f>
        <v>0</v>
      </c>
      <c r="AN942" s="354"/>
      <c r="AO942" s="354"/>
      <c r="AP942" s="354"/>
      <c r="AQ942" s="350">
        <f>AM942+AN942+AO942+AP942</f>
        <v>0</v>
      </c>
      <c r="AR942" s="769"/>
      <c r="AS942" s="769"/>
      <c r="AT942" s="769"/>
      <c r="BM942" s="335"/>
    </row>
    <row r="943" spans="1:65" ht="22.25" customHeight="1">
      <c r="A943" s="181">
        <f t="shared" si="313"/>
        <v>45292</v>
      </c>
      <c r="B943" s="484" t="e">
        <f>MONTH(I940)</f>
        <v>#NUM!</v>
      </c>
      <c r="C943" s="489" t="s">
        <v>158</v>
      </c>
      <c r="D943" s="522" t="e">
        <f>D941+1</f>
        <v>#NUM!</v>
      </c>
      <c r="E943" s="211" t="e">
        <f>DATE(YEAR(E942),MONTH(E942),DAY(E942)+1)</f>
        <v>#NUM!</v>
      </c>
      <c r="F943" s="212" t="e">
        <f t="shared" si="324"/>
        <v>#NUM!</v>
      </c>
      <c r="G943" s="213" t="e">
        <f t="shared" si="325"/>
        <v>#NUM!</v>
      </c>
      <c r="H943" s="212" t="e">
        <f t="shared" si="326"/>
        <v>#NUM!</v>
      </c>
      <c r="I943" s="214" t="str">
        <f>IF(D940&lt;&gt;0,"-1T","")</f>
        <v/>
      </c>
      <c r="J943" s="215" t="e">
        <f>DATE($B945,I944,$B941)</f>
        <v>#NUM!</v>
      </c>
      <c r="K943" s="501" t="str">
        <f t="shared" si="314"/>
        <v/>
      </c>
      <c r="L943" s="470"/>
      <c r="M943" s="473" t="e">
        <f ca="1">SUM(J940-E944)&amp;" Tage"</f>
        <v>#NUM!</v>
      </c>
      <c r="N943" s="216"/>
      <c r="O943" s="217"/>
      <c r="P943" s="188"/>
      <c r="Q943" s="217"/>
      <c r="R943" s="189"/>
      <c r="S943" s="190"/>
      <c r="T943" s="190"/>
      <c r="U943" s="191"/>
      <c r="V943" s="192"/>
      <c r="W943" s="190"/>
      <c r="X943" s="190"/>
      <c r="Y943" s="191"/>
      <c r="Z943" s="192"/>
      <c r="AA943" s="190"/>
      <c r="AB943" s="190"/>
      <c r="AC943" s="191"/>
      <c r="AD943" s="192"/>
      <c r="AE943" s="190"/>
      <c r="AF943" s="190"/>
      <c r="AG943" s="191"/>
      <c r="AH943" s="193"/>
      <c r="AI943" s="190"/>
      <c r="AJ943" s="190"/>
      <c r="AK943" s="374"/>
      <c r="AL943" s="348"/>
      <c r="AM943" s="354"/>
      <c r="AN943" s="354"/>
      <c r="AO943" s="354"/>
      <c r="AP943" s="354"/>
      <c r="AQ943" s="350"/>
      <c r="AR943" s="769"/>
      <c r="AS943" s="769"/>
      <c r="AT943" s="769"/>
      <c r="BM943" s="335"/>
    </row>
    <row r="944" spans="1:65" ht="22.25" customHeight="1">
      <c r="A944" s="181">
        <f t="shared" si="313"/>
        <v>45292</v>
      </c>
      <c r="B944" s="485"/>
      <c r="C944" s="490"/>
      <c r="D944" s="521"/>
      <c r="E944" s="218" t="e">
        <f>DATE(YEAR(E943),MONTH(E943)+3,DAY(E943)-1)</f>
        <v>#NUM!</v>
      </c>
      <c r="F944" s="212" t="e">
        <f t="shared" si="324"/>
        <v>#NUM!</v>
      </c>
      <c r="G944" s="213" t="e">
        <f t="shared" si="325"/>
        <v>#NUM!</v>
      </c>
      <c r="H944" s="212" t="e">
        <f t="shared" si="326"/>
        <v>#NUM!</v>
      </c>
      <c r="I944" s="219">
        <f>MAX(I945:I948)</f>
        <v>9</v>
      </c>
      <c r="J944" s="220" t="e">
        <f>DATE(YEAR(J943)+1,MONTH(J943),DAY(J943))</f>
        <v>#NUM!</v>
      </c>
      <c r="K944" s="506" t="str">
        <f t="shared" si="314"/>
        <v>+Inflat.-P</v>
      </c>
      <c r="L944" s="508" t="e">
        <f>IF(M939="Stufe A",IF(AND(L940="Auswahl treffen",D943&gt;=0,D943&lt;=1000),J939,IF(AND(L940="Vermögend und ambulant",D943&gt;8,D943&lt;=1000),130,IF(AND(L940="Vermögend und ambulant",D943&gt;4,D943&lt;=8),158,IF(AND(L940="Vermögend und ambulant",D943&gt;2,D943&lt;=4),192,IF(AND(L940="Vermögend und ambulant",D943&gt;1,D943&lt;=2),208,IF(AND(L940="Vermögend und ambulant",D943&gt;0,D943&lt;=1),298,IF(AND(L940="Vermögend und stationär",D943&gt;8,D943&lt;=1000),78,IF(AND(L940="Vermögend und stationär",D943&gt;4,D943&lt;=8),91,IF(AND(L940="Vermögend und stationär",D943&gt;2,D943&lt;=4),140,IF(AND(L940="Vermögend und stationär",D943&gt;1,D943&lt;=2),158,IF(AND(L940="Vermögend und stationär",D943&gt;0,D943&lt;=1),200,IF(AND(L940="Mittellos und ambulant",D943&gt;8,D943&lt;=1000),105,IF(AND(L940="Mittellos und ambulant",D943&gt;4,D943&lt;=8),122,IF(AND(L940="Mittellos und ambulant",D943&gt;2,D943&lt;=4),151,IF(AND(L940="Mittellos und ambulant",D943&gt;1,D943&lt;=2),170,IF(AND(L940="Mittellos und ambulant",D943&gt;0,D943&lt;=1),208,IF(AND(L940="Mittellos und stationär",D943&gt;8,D943&lt;=1000),62,IF(AND(L940="Mittellos und stationär",D943&gt;4,D943&lt;=8),87,IF(AND(L940="Mittellos und stationär",D943&gt;2,D943&lt;=4),124,IF(AND(L940="Mittellos und stationär",D943&gt;1,D943&lt;=2),129,IF(AND(L940="Mittellos und stationär",D943&gt;0,D943&lt;=1),194,""))))))))))))))))))))),IF(M939="Stufe B",IF(AND(L940="Auswahl treffen",D943&gt;=0,D943&lt;=1000),J939,IF(AND(L940="Vermögend und ambulant",D943&gt;8,D943&lt;=1000),161,IF(AND(L940="Vermögend und ambulant",D943&gt;4,D943&lt;=8),196,IF(AND(L940="Vermögend und ambulant",D943&gt;2,D943&lt;=4),238,IF(AND(L940="Vermögend und ambulant",D943&gt;1,D943&lt;=2),258,IF(AND(L940="Vermögend und ambulant",D943&gt;0,D943&lt;=1),370,IF(AND(L940="Vermögend und stationär",D943&gt;8,D943&lt;=1000),96,IF(AND(L940="Vermögend und stationär",D943&gt;4,D943&lt;=8),113,IF(AND(L940="Vermögend und stationär",D943&gt;2,D943&lt;=4),174,IF(AND(L940="Vermögend und stationär",D943&gt;1,D943&lt;=2),196,IF(AND(L940="Vermögend und stationär",D943&gt;0,D943&lt;=1),249,IF(AND(L940="Mittellos und ambulant",D943&gt;8,D943&lt;=1000),130,IF(AND(L940="Mittellos und ambulant",D943&gt;4,D943&lt;=8),151,IF(AND(L940="Mittellos und ambulant",D943&gt;2,D943&lt;=4),188,IF(AND(L940="Mittellos und ambulant",D943&gt;1,D943&lt;=2),211,IF(AND(L940="Mittellos und ambulant",D943&gt;0,D943&lt;=1),258,IF(AND(L940="Mittellos und stationär",D943&gt;8,D943&lt;=1000),78,IF(AND(L940="Mittellos und stationär",D943&gt;4,D943&lt;=8),107,IF(AND(L940="Mittellos und stationär",D943&gt;2,D943&lt;=4),154,IF(AND(L940="Mittellos und stationär",D943&gt;1,D943&lt;=2),158,IF(AND(L940="Mittellos und stationär",D943&gt;0,D943&lt;=1),241,""))))))))))))))))))))),IF(M939="Stufe C",IF(AND(L940="Auswahl treffen",D943&gt;=0,D943&lt;=1000),J939,IF(AND(L940="Vermögend und ambulant",D943&gt;8,D943&lt;=1000),211,IF(AND(L940="Vermögend und ambulant",D943&gt;4,D943&lt;=8),257,IF(AND(L940="Vermögend und ambulant",D943&gt;2,D943&lt;=4),312,IF(AND(L940="Vermögend und ambulant",D943&gt;1,D943&lt;=2),339,IF(AND(L940="Vermögend und ambulant",D943&gt;0,D943&lt;=1),486,IF(AND(L940="Vermögend und stationär",D943&gt;8,D943&lt;=1000),127,IF(AND(L940="Vermögend und stationär",D943&gt;4,D943&lt;=8),149,IF(AND(L940="Vermögend und stationär",D943&gt;2,D943&lt;=4),229,IF(AND(L940="Vermögend und stationär",D943&gt;1,D943&lt;=2),257,IF(AND(L940="Vermögend und stationär",D943&gt;0,D943&lt;=1),327,IF(AND(L940="Mittellos und ambulant",D943&gt;8,D943&lt;=1000),171,IF(AND(L940="Mittellos und ambulant",D943&gt;4,D943&lt;=8),198,IF(AND(L940="Mittellos und ambulant",D943&gt;2,D943&lt;=4),246,IF(AND(L940="Mittellos und ambulant",D943&gt;1,D943&lt;=2),277,IF(AND(L940="Mittellos und ambulant",D943&gt;0,D943&lt;=1),339,IF(AND(L940="Mittellos und stationär",D943&gt;8,D943&lt;=1000),102,IF(AND(L940="Mittellos und stationär",D943&gt;4,D943&lt;=8),141,IF(AND(L940="Mittellos und stationär",D943&gt;2,D943&lt;=4),202,IF(AND(L940="Mittellos und stationär",D943&gt;1,D943&lt;=2),208,IF(AND(L940="Mittellos und stationär",D943&gt;0,D943&lt;=1),317,""))))))))))))))))))))),"")))*3+(J939*90)</f>
        <v>#NUM!</v>
      </c>
      <c r="M944" s="507" t="str">
        <f>CONCATENATE(K944, K943)</f>
        <v>+Inflat.-P</v>
      </c>
      <c r="N944" s="216"/>
      <c r="O944" s="188" t="s">
        <v>118</v>
      </c>
      <c r="P944" s="188"/>
      <c r="Q944" s="221"/>
      <c r="R944" s="199"/>
      <c r="S944" s="190"/>
      <c r="T944" s="190"/>
      <c r="U944" s="191"/>
      <c r="V944" s="192"/>
      <c r="W944" s="222" t="s">
        <v>118</v>
      </c>
      <c r="X944" s="222" t="s">
        <v>117</v>
      </c>
      <c r="Y944" s="191" t="s">
        <v>26</v>
      </c>
      <c r="Z944" s="192"/>
      <c r="AA944" s="190"/>
      <c r="AB944" s="190"/>
      <c r="AC944" s="191"/>
      <c r="AD944" s="192"/>
      <c r="AE944" s="190"/>
      <c r="AF944" s="190"/>
      <c r="AG944" s="191"/>
      <c r="AH944" s="193"/>
      <c r="AI944" s="190"/>
      <c r="AJ944" s="190"/>
      <c r="AK944" s="374"/>
      <c r="AL944" s="348" t="s">
        <v>149</v>
      </c>
      <c r="AM944" s="354"/>
      <c r="AN944" s="354">
        <f>IF(SUM(O940:O948)=SUM(W940:W948), 0, SUM(O940:O948)-SUM(W940:W948))</f>
        <v>0</v>
      </c>
      <c r="AO944" s="354"/>
      <c r="AP944" s="354"/>
      <c r="AQ944" s="350">
        <f>AM944+AN944+AO944+AP944</f>
        <v>0</v>
      </c>
      <c r="AR944" s="769"/>
      <c r="AS944" s="769"/>
      <c r="AT944" s="769"/>
      <c r="BM944" s="335"/>
    </row>
    <row r="945" spans="1:65" ht="22.25" customHeight="1">
      <c r="A945" s="181">
        <f t="shared" si="313"/>
        <v>45292</v>
      </c>
      <c r="B945" s="484">
        <f>YEAR($A946)-1</f>
        <v>2023</v>
      </c>
      <c r="C945" s="489" t="s">
        <v>158</v>
      </c>
      <c r="D945" s="520" t="e">
        <f>D943+1</f>
        <v>#NUM!</v>
      </c>
      <c r="E945" s="194" t="e">
        <f>DATE(YEAR(E944),MONTH(E944),DAY(E944)+1)</f>
        <v>#NUM!</v>
      </c>
      <c r="F945" s="195" t="e">
        <f t="shared" si="324"/>
        <v>#NUM!</v>
      </c>
      <c r="G945" s="196" t="e">
        <f t="shared" si="325"/>
        <v>#NUM!</v>
      </c>
      <c r="H945" s="195" t="e">
        <f t="shared" si="326"/>
        <v>#NUM!</v>
      </c>
      <c r="I945" s="197">
        <f>IF(J947&lt;13,J947,"")</f>
        <v>9</v>
      </c>
      <c r="J945" s="224">
        <f>G940</f>
        <v>0</v>
      </c>
      <c r="K945" s="501" t="str">
        <f t="shared" si="314"/>
        <v/>
      </c>
      <c r="L945" s="471"/>
      <c r="M945" s="473" t="e">
        <f ca="1">SUM(J940-E946)&amp;" Tage"</f>
        <v>#NUM!</v>
      </c>
      <c r="N945" s="200"/>
      <c r="O945" s="201"/>
      <c r="P945" s="201"/>
      <c r="Q945" s="202"/>
      <c r="R945" s="189"/>
      <c r="S945" s="203"/>
      <c r="T945" s="203"/>
      <c r="U945" s="204"/>
      <c r="V945" s="192"/>
      <c r="W945" s="203"/>
      <c r="X945" s="203"/>
      <c r="Y945" s="204"/>
      <c r="Z945" s="192"/>
      <c r="AA945" s="203"/>
      <c r="AB945" s="203"/>
      <c r="AC945" s="204"/>
      <c r="AD945" s="192"/>
      <c r="AE945" s="203"/>
      <c r="AF945" s="203"/>
      <c r="AG945" s="204"/>
      <c r="AH945" s="193"/>
      <c r="AI945" s="203"/>
      <c r="AJ945" s="203"/>
      <c r="AK945" s="375"/>
      <c r="AL945" s="348"/>
      <c r="AM945" s="354"/>
      <c r="AN945" s="354"/>
      <c r="AO945" s="354"/>
      <c r="AP945" s="354"/>
      <c r="AQ945" s="350"/>
      <c r="AR945" s="769"/>
      <c r="AS945" s="769"/>
      <c r="AT945" s="769"/>
      <c r="BM945" s="335"/>
    </row>
    <row r="946" spans="1:65" ht="22.25" customHeight="1">
      <c r="A946" s="181">
        <f t="shared" si="313"/>
        <v>45292</v>
      </c>
      <c r="B946" s="485"/>
      <c r="C946" s="490"/>
      <c r="D946" s="521"/>
      <c r="E946" s="194" t="e">
        <f>DATE(YEAR(E945),MONTH(E945)+3,DAY(E945)-1)</f>
        <v>#NUM!</v>
      </c>
      <c r="F946" s="195" t="e">
        <f t="shared" si="324"/>
        <v>#NUM!</v>
      </c>
      <c r="G946" s="196" t="e">
        <f t="shared" si="325"/>
        <v>#NUM!</v>
      </c>
      <c r="H946" s="195" t="e">
        <f t="shared" si="326"/>
        <v>#NUM!</v>
      </c>
      <c r="I946" s="244">
        <f>IF(J948&lt;13,J948,"")</f>
        <v>6</v>
      </c>
      <c r="J946" s="224">
        <f>J945+3</f>
        <v>3</v>
      </c>
      <c r="K946" s="506" t="str">
        <f t="shared" si="314"/>
        <v>+Inflat.-P</v>
      </c>
      <c r="L946" s="511" t="e">
        <f>IF(M939="Stufe A",IF(AND(L940="Auswahl treffen",D945&gt;=0,D945&lt;=1000),J939,IF(AND(L940="Vermögend und ambulant",D945&gt;8,D945&lt;=1000),130,IF(AND(L940="Vermögend und ambulant",D945&gt;4,D945&lt;=8),158,IF(AND(L940="Vermögend und ambulant",D945&gt;2,D945&lt;=4),192,IF(AND(L940="Vermögend und ambulant",D945&gt;1,D945&lt;=2),208,IF(AND(L940="Vermögend und ambulant",D945&gt;0,D945&lt;=1),298,IF(AND(L940="Vermögend und stationär",D945&gt;8,D945&lt;=1000),78,IF(AND(L940="Vermögend und stationär",D945&gt;4,D945&lt;=8),91,IF(AND(L940="Vermögend und stationär",D945&gt;2,D945&lt;=4),140,IF(AND(L940="Vermögend und stationär",D945&gt;1,D945&lt;=2),158,IF(AND(L940="Vermögend und stationär",D945&gt;0,D945&lt;=1),200,IF(AND(L940="Mittellos und ambulant",D945&gt;8,D945&lt;=1000),105,IF(AND(L940="Mittellos und ambulant",D945&gt;4,D945&lt;=8),122,IF(AND(L940="Mittellos und ambulant",D945&gt;2,D945&lt;=4),151,IF(AND(L940="Mittellos und ambulant",D945&gt;1,D945&lt;=2),170,IF(AND(L940="Mittellos und ambulant",D945&gt;0,D945&lt;=1),208,IF(AND(L940="Mittellos und stationär",D945&gt;8,D945&lt;=1000),62,IF(AND(L940="Mittellos und stationär",D945&gt;4,D945&lt;=8),87,IF(AND(L940="Mittellos und stationär",D945&gt;2,D945&lt;=4),124,IF(AND(L940="Mittellos und stationär",D945&gt;1,D945&lt;=2),129,IF(AND(L940="Mittellos und stationär",D945&gt;0,D945&lt;=1),194,""))))))))))))))))))))),IF(M939="Stufe B",IF(AND(L940="Auswahl treffen",D945&gt;=0,D945&lt;=1000),J939,IF(AND(L940="Vermögend und ambulant",D945&gt;8,D945&lt;=1000),161,IF(AND(L940="Vermögend und ambulant",D945&gt;4,D945&lt;=8),196,IF(AND(L940="Vermögend und ambulant",D945&gt;2,D945&lt;=4),238,IF(AND(L940="Vermögend und ambulant",D945&gt;1,D945&lt;=2),258,IF(AND(L940="Vermögend und ambulant",D945&gt;0,D945&lt;=1),370,IF(AND(L940="Vermögend und stationär",D945&gt;8,D945&lt;=1000),96,IF(AND(L940="Vermögend und stationär",D945&gt;4,D945&lt;=8),113,IF(AND(L940="Vermögend und stationär",D945&gt;2,D945&lt;=4),174,IF(AND(L940="Vermögend und stationär",D945&gt;1,D945&lt;=2),196,IF(AND(L940="Vermögend und stationär",D945&gt;0,D945&lt;=1),249,IF(AND(L940="Mittellos und ambulant",D945&gt;8,D945&lt;=1000),130,IF(AND(L940="Mittellos und ambulant",D945&gt;4,D945&lt;=8),151,IF(AND(L940="Mittellos und ambulant",D945&gt;2,D945&lt;=4),188,IF(AND(L940="Mittellos und ambulant",D945&gt;1,D945&lt;=2),211,IF(AND(L940="Mittellos und ambulant",D945&gt;0,D945&lt;=1),258,IF(AND(L940="Mittellos und stationär",D945&gt;8,D945&lt;=1000),78,IF(AND(L940="Mittellos und stationär",D945&gt;4,D945&lt;=8),107,IF(AND(L940="Mittellos und stationär",D945&gt;2,D945&lt;=4),154,IF(AND(L940="Mittellos und stationär",D945&gt;1,D945&lt;=2),158,IF(AND(L940="Mittellos und stationär",D945&gt;0,D945&lt;=1),241,""))))))))))))))))))))),IF(M939="Stufe C",IF(AND(L940="Auswahl treffen",D945&gt;=0,D945&lt;=1000),J939,IF(AND(L940="Vermögend und ambulant",D945&gt;8,D945&lt;=1000),211,IF(AND(L940="Vermögend und ambulant",D945&gt;4,D945&lt;=8),257,IF(AND(L940="Vermögend und ambulant",D945&gt;2,D945&lt;=4),312,IF(AND(L940="Vermögend und ambulant",D945&gt;1,D945&lt;=2),339,IF(AND(L940="Vermögend und ambulant",D945&gt;0,D945&lt;=1),486,IF(AND(L940="Vermögend und stationär",D945&gt;8,D945&lt;=1000),127,IF(AND(L940="Vermögend und stationär",D945&gt;4,D945&lt;=8),149,IF(AND(L940="Vermögend und stationär",D945&gt;2,D945&lt;=4),229,IF(AND(L940="Vermögend und stationär",D945&gt;1,D945&lt;=2),257,IF(AND(L940="Vermögend und stationär",D945&gt;0,D945&lt;=1),327,IF(AND(L940="Mittellos und ambulant",D945&gt;8,D945&lt;=1000),171,IF(AND(L940="Mittellos und ambulant",D945&gt;4,D945&lt;=8),198,IF(AND(L940="Mittellos und ambulant",D945&gt;2,D945&lt;=4),246,IF(AND(L940="Mittellos und ambulant",D945&gt;1,D945&lt;=2),277,IF(AND(L940="Mittellos und ambulant",D945&gt;0,D945&lt;=1),339,IF(AND(L940="Mittellos und stationär",D945&gt;8,D945&lt;=1000),102,IF(AND(L940="Mittellos und stationär",D945&gt;4,D945&lt;=8),141,IF(AND(L940="Mittellos und stationär",D945&gt;2,D945&lt;=4),202,IF(AND(L940="Mittellos und stationär",D945&gt;1,D945&lt;=2),208,IF(AND(L940="Mittellos und stationär",D945&gt;0,D945&lt;=1),317,""))))))))))))))))))))),"")))*3+(J939*90)</f>
        <v>#NUM!</v>
      </c>
      <c r="M946" s="507" t="str">
        <f>CONCATENATE(K946, K945)</f>
        <v>+Inflat.-P</v>
      </c>
      <c r="N946" s="206"/>
      <c r="O946" s="207"/>
      <c r="P946" s="206" t="s">
        <v>118</v>
      </c>
      <c r="Q946" s="226"/>
      <c r="R946" s="189"/>
      <c r="S946" s="203"/>
      <c r="T946" s="203"/>
      <c r="U946" s="204"/>
      <c r="V946" s="192"/>
      <c r="W946" s="203"/>
      <c r="X946" s="203"/>
      <c r="Y946" s="204"/>
      <c r="Z946" s="192"/>
      <c r="AA946" s="209" t="s">
        <v>118</v>
      </c>
      <c r="AB946" s="209" t="s">
        <v>117</v>
      </c>
      <c r="AC946" s="204" t="s">
        <v>26</v>
      </c>
      <c r="AD946" s="192"/>
      <c r="AE946" s="203"/>
      <c r="AF946" s="203"/>
      <c r="AG946" s="204"/>
      <c r="AH946" s="193"/>
      <c r="AI946" s="203"/>
      <c r="AJ946" s="203"/>
      <c r="AK946" s="375"/>
      <c r="AL946" s="348" t="s">
        <v>150</v>
      </c>
      <c r="AM946" s="354"/>
      <c r="AN946" s="354"/>
      <c r="AO946" s="354">
        <f>IF(SUM(P940:P948)=SUM(AA940:AA948), 0, SUM(P940:P948)-SUM(AA940:AA948))</f>
        <v>0</v>
      </c>
      <c r="AP946" s="354"/>
      <c r="AQ946" s="350">
        <f>AM946+AN946+AO946+AP946</f>
        <v>0</v>
      </c>
      <c r="AR946" s="769"/>
      <c r="AS946" s="769"/>
      <c r="AT946" s="769"/>
      <c r="BM946" s="335"/>
    </row>
    <row r="947" spans="1:65" ht="22.25" customHeight="1">
      <c r="A947" s="181">
        <f t="shared" si="313"/>
        <v>45292</v>
      </c>
      <c r="B947" s="486"/>
      <c r="C947" s="489" t="s">
        <v>158</v>
      </c>
      <c r="D947" s="522" t="e">
        <f>D945+1</f>
        <v>#NUM!</v>
      </c>
      <c r="E947" s="211" t="e">
        <f>DATE(YEAR(E946),MONTH(E946),DAY(E946)+1)</f>
        <v>#NUM!</v>
      </c>
      <c r="F947" s="227" t="e">
        <f t="shared" si="324"/>
        <v>#NUM!</v>
      </c>
      <c r="G947" s="228" t="e">
        <f t="shared" si="325"/>
        <v>#NUM!</v>
      </c>
      <c r="H947" s="227" t="e">
        <f t="shared" si="326"/>
        <v>#NUM!</v>
      </c>
      <c r="I947" s="231">
        <f>IF(J946&lt;13,J946,"")</f>
        <v>3</v>
      </c>
      <c r="J947" s="230">
        <f>J948+3</f>
        <v>9</v>
      </c>
      <c r="K947" s="501" t="str">
        <f t="shared" si="314"/>
        <v/>
      </c>
      <c r="L947" s="471"/>
      <c r="M947" s="473" t="e">
        <f ca="1">SUM(J940-E948)&amp;" Tage"</f>
        <v>#NUM!</v>
      </c>
      <c r="N947" s="216"/>
      <c r="O947" s="188"/>
      <c r="P947" s="188"/>
      <c r="Q947" s="217"/>
      <c r="R947" s="189"/>
      <c r="S947" s="190"/>
      <c r="T947" s="190"/>
      <c r="U947" s="191"/>
      <c r="V947" s="192"/>
      <c r="W947" s="190"/>
      <c r="X947" s="190"/>
      <c r="Y947" s="191"/>
      <c r="Z947" s="192"/>
      <c r="AA947" s="190"/>
      <c r="AB947" s="190"/>
      <c r="AC947" s="191"/>
      <c r="AD947" s="192"/>
      <c r="AE947" s="190"/>
      <c r="AF947" s="190"/>
      <c r="AG947" s="191"/>
      <c r="AH947" s="193"/>
      <c r="AI947" s="190"/>
      <c r="AJ947" s="190"/>
      <c r="AK947" s="374"/>
      <c r="AL947" s="348"/>
      <c r="AM947" s="354"/>
      <c r="AN947" s="354"/>
      <c r="AO947" s="354"/>
      <c r="AP947" s="354"/>
      <c r="AQ947" s="350"/>
      <c r="AR947" s="769"/>
      <c r="AS947" s="769"/>
      <c r="AT947" s="769"/>
      <c r="BM947" s="335"/>
    </row>
    <row r="948" spans="1:65" ht="22.25" customHeight="1">
      <c r="A948" s="181">
        <f t="shared" si="313"/>
        <v>45292</v>
      </c>
      <c r="B948" s="485"/>
      <c r="C948" s="490"/>
      <c r="D948" s="521"/>
      <c r="E948" s="218" t="e">
        <f>DATE(YEAR(E947),MONTH(E947)+3,DAY(E947)-1)</f>
        <v>#NUM!</v>
      </c>
      <c r="F948" s="227" t="e">
        <f t="shared" si="324"/>
        <v>#NUM!</v>
      </c>
      <c r="G948" s="228" t="e">
        <f t="shared" si="325"/>
        <v>#NUM!</v>
      </c>
      <c r="H948" s="227" t="e">
        <f t="shared" si="326"/>
        <v>#NUM!</v>
      </c>
      <c r="I948" s="231">
        <f>IF(J945&lt;13,J945,"")</f>
        <v>0</v>
      </c>
      <c r="J948" s="230">
        <f>J946+3</f>
        <v>6</v>
      </c>
      <c r="K948" s="506" t="str">
        <f t="shared" si="314"/>
        <v>+Inflat.-P</v>
      </c>
      <c r="L948" s="508" t="e">
        <f>IF(M939="Stufe A",IF(AND(L940="Auswahl treffen",D947&gt;=0,D947&lt;=1000),J939,IF(AND(L940="Vermögend und ambulant",D947&gt;8,D947&lt;=1000),130,IF(AND(L940="Vermögend und ambulant",D947&gt;4,D947&lt;=8),158,IF(AND(L940="Vermögend und ambulant",D947&gt;2,D947&lt;=4),192,IF(AND(L940="Vermögend und ambulant",D947&gt;1,D947&lt;=2),208,IF(AND(L940="Vermögend und ambulant",D947&gt;0,D947&lt;=1),298,IF(AND(L940="Vermögend und stationär",D947&gt;8,D947&lt;=1000),78,IF(AND(L940="Vermögend und stationär",D947&gt;4,D947&lt;=8),91,IF(AND(L940="Vermögend und stationär",D947&gt;2,D947&lt;=4),140,IF(AND(L940="Vermögend und stationär",D947&gt;1,D947&lt;=2),158,IF(AND(L940="Vermögend und stationär",D947&gt;0,D947&lt;=1),200,IF(AND(L940="Mittellos und ambulant",D947&gt;8,D947&lt;=1000),105,IF(AND(L940="Mittellos und ambulant",D947&gt;4,D947&lt;=8),122,IF(AND(L940="Mittellos und ambulant",D947&gt;2,D947&lt;=4),151,IF(AND(L940="Mittellos und ambulant",D947&gt;1,D947&lt;=2),170,IF(AND(L940="Mittellos und ambulant",D947&gt;0,D947&lt;=1),208,IF(AND(L940="Mittellos und stationär",D947&gt;8,D947&lt;=1000),62,IF(AND(L940="Mittellos und stationär",D947&gt;4,D947&lt;=8),87,IF(AND(L940="Mittellos und stationär",D947&gt;2,D947&lt;=4),124,IF(AND(L940="Mittellos und stationär",D947&gt;1,D947&lt;=2),129,IF(AND(L940="Mittellos und stationär",D947&gt;0,D947&lt;=1),194,""))))))))))))))))))))),IF(M939="Stufe B",IF(AND(L940="Auswahl treffen",D947&gt;=0,D947&lt;=1000),J939,IF(AND(L940="Vermögend und ambulant",D947&gt;8,D947&lt;=1000),161,IF(AND(L940="Vermögend und ambulant",D947&gt;4,D947&lt;=8),196,IF(AND(L940="Vermögend und ambulant",D947&gt;2,D947&lt;=4),238,IF(AND(L940="Vermögend und ambulant",D947&gt;1,D947&lt;=2),258,IF(AND(L940="Vermögend und ambulant",D947&gt;0,D947&lt;=1),370,IF(AND(L940="Vermögend und stationär",D947&gt;8,D947&lt;=1000),96,IF(AND(L940="Vermögend und stationär",D947&gt;4,D947&lt;=8),113,IF(AND(L940="Vermögend und stationär",D947&gt;2,D947&lt;=4),174,IF(AND(L940="Vermögend und stationär",D947&gt;1,D947&lt;=2),196,IF(AND(L940="Vermögend und stationär",D947&gt;0,D947&lt;=1),249,IF(AND(L940="Mittellos und ambulant",D947&gt;8,D947&lt;=1000),130,IF(AND(L940="Mittellos und ambulant",D947&gt;4,D947&lt;=8),151,IF(AND(L940="Mittellos und ambulant",D947&gt;2,D947&lt;=4),188,IF(AND(L940="Mittellos und ambulant",D947&gt;1,D947&lt;=2),211,IF(AND(L940="Mittellos und ambulant",D947&gt;0,D947&lt;=1),258,IF(AND(L940="Mittellos und stationär",D947&gt;8,D947&lt;=1000),78,IF(AND(L940="Mittellos und stationär",D947&gt;4,D947&lt;=8),107,IF(AND(L940="Mittellos und stationär",D947&gt;2,D947&lt;=4),154,IF(AND(L940="Mittellos und stationär",D947&gt;1,D947&lt;=2),158,IF(AND(L940="Mittellos und stationär",D947&gt;0,D947&lt;=1),241,""))))))))))))))))))))),IF(M939="Stufe C",IF(AND(L940="Auswahl treffen",D947&gt;=0,D947&lt;=1000),J939,IF(AND(L940="Vermögend und ambulant",D947&gt;8,D947&lt;=1000),211,IF(AND(L940="Vermögend und ambulant",D947&gt;4,D947&lt;=8),257,IF(AND(L940="Vermögend und ambulant",D947&gt;2,D947&lt;=4),312,IF(AND(L940="Vermögend und ambulant",D947&gt;1,D947&lt;=2),339,IF(AND(L940="Vermögend und ambulant",D947&gt;0,D947&lt;=1),486,IF(AND(L940="Vermögend und stationär",D947&gt;8,D947&lt;=1000),127,IF(AND(L940="Vermögend und stationär",D947&gt;4,D947&lt;=8),149,IF(AND(L940="Vermögend und stationär",D947&gt;2,D947&lt;=4),229,IF(AND(L940="Vermögend und stationär",D947&gt;1,D947&lt;=2),257,IF(AND(L940="Vermögend und stationär",D947&gt;0,D947&lt;=1),327,IF(AND(L940="Mittellos und ambulant",D947&gt;8,D947&lt;=1000),171,IF(AND(L940="Mittellos und ambulant",D947&gt;4,D947&lt;=8),198,IF(AND(L940="Mittellos und ambulant",D947&gt;2,D947&lt;=4),246,IF(AND(L940="Mittellos und ambulant",D947&gt;1,D947&lt;=2),277,IF(AND(L940="Mittellos und ambulant",D947&gt;0,D947&lt;=1),339,IF(AND(L940="Mittellos und stationär",D947&gt;8,D947&lt;=1000),102,IF(AND(L940="Mittellos und stationär",D947&gt;4,D947&lt;=8),141,IF(AND(L940="Mittellos und stationär",D947&gt;2,D947&lt;=4),202,IF(AND(L940="Mittellos und stationär",D947&gt;1,D947&lt;=2),208,IF(AND(L940="Mittellos und stationär",D947&gt;0,D947&lt;=1),317,""))))))))))))))))))))),"")))*3+(J939*90)</f>
        <v>#NUM!</v>
      </c>
      <c r="M948" s="507" t="str">
        <f>CONCATENATE(K948, K947)</f>
        <v>+Inflat.-P</v>
      </c>
      <c r="N948" s="216"/>
      <c r="O948" s="188"/>
      <c r="P948" s="188"/>
      <c r="Q948" s="217" t="s">
        <v>118</v>
      </c>
      <c r="R948" s="189"/>
      <c r="S948" s="190"/>
      <c r="T948" s="190"/>
      <c r="U948" s="191"/>
      <c r="V948" s="192"/>
      <c r="W948" s="190"/>
      <c r="X948" s="190"/>
      <c r="Y948" s="191"/>
      <c r="Z948" s="192"/>
      <c r="AA948" s="190"/>
      <c r="AB948" s="190"/>
      <c r="AC948" s="191"/>
      <c r="AD948" s="192"/>
      <c r="AE948" s="190" t="s">
        <v>118</v>
      </c>
      <c r="AF948" s="190" t="s">
        <v>117</v>
      </c>
      <c r="AG948" s="191" t="s">
        <v>26</v>
      </c>
      <c r="AH948" s="193"/>
      <c r="AI948" s="190" t="s">
        <v>118</v>
      </c>
      <c r="AJ948" s="190" t="s">
        <v>117</v>
      </c>
      <c r="AK948" s="374" t="s">
        <v>26</v>
      </c>
      <c r="AL948" s="348" t="s">
        <v>151</v>
      </c>
      <c r="AM948" s="354"/>
      <c r="AN948" s="354"/>
      <c r="AO948" s="354"/>
      <c r="AP948" s="354">
        <f>IF(SUM(Q940:Q948)=SUM(AE940:AE948,AI940:AI948), 0, SUM(Q940:Q948)-SUM(AE940:AE948,AI940:AI948))</f>
        <v>0</v>
      </c>
      <c r="AQ948" s="350">
        <f>AM948+AN948+AO948+AP948</f>
        <v>0</v>
      </c>
      <c r="AR948" s="769"/>
      <c r="AS948" s="769"/>
      <c r="AT948" s="769"/>
      <c r="BM948" s="335"/>
    </row>
    <row r="949" spans="1:65" ht="22" customHeight="1">
      <c r="A949" s="181">
        <f t="shared" si="313"/>
        <v>45292</v>
      </c>
      <c r="B949" s="232" t="s">
        <v>74</v>
      </c>
      <c r="C949" s="233" t="s">
        <v>75</v>
      </c>
      <c r="D949" s="234" t="s">
        <v>76</v>
      </c>
      <c r="E949" s="235" t="s">
        <v>11</v>
      </c>
      <c r="F949" s="235" t="s">
        <v>4</v>
      </c>
      <c r="G949" s="235" t="s">
        <v>5</v>
      </c>
      <c r="H949" s="235" t="s">
        <v>6</v>
      </c>
      <c r="I949" s="236" t="s">
        <v>77</v>
      </c>
      <c r="J949" s="479"/>
      <c r="K949" s="501" t="str">
        <f t="shared" si="314"/>
        <v/>
      </c>
      <c r="L949" s="479" t="str">
        <f>IFERROR(VLOOKUP(B950,'Aktuelle Einnahmen'!A2:J104,10,0),"")</f>
        <v/>
      </c>
      <c r="M949" s="512" t="str">
        <f>M939</f>
        <v>Stufe C</v>
      </c>
      <c r="N949" s="237"/>
      <c r="O949" s="238"/>
      <c r="P949" s="238"/>
      <c r="Q949" s="239"/>
      <c r="R949" s="240"/>
      <c r="S949" s="241"/>
      <c r="T949" s="241"/>
      <c r="U949" s="242"/>
      <c r="V949" s="243"/>
      <c r="W949" s="241"/>
      <c r="X949" s="241"/>
      <c r="Y949" s="242"/>
      <c r="Z949" s="243"/>
      <c r="AA949" s="241"/>
      <c r="AB949" s="241"/>
      <c r="AC949" s="242"/>
      <c r="AD949" s="243"/>
      <c r="AE949" s="241"/>
      <c r="AF949" s="241"/>
      <c r="AG949" s="242"/>
      <c r="AH949" s="240"/>
      <c r="AI949" s="241"/>
      <c r="AJ949" s="241"/>
      <c r="AK949" s="377"/>
      <c r="AL949" s="347"/>
      <c r="AM949" s="353"/>
      <c r="AN949" s="353"/>
      <c r="AO949" s="353"/>
      <c r="AP949" s="353"/>
      <c r="AQ949" s="349"/>
      <c r="AR949" s="768"/>
      <c r="AS949" s="768"/>
      <c r="AT949" s="768"/>
      <c r="BM949" s="335"/>
    </row>
    <row r="950" spans="1:65" ht="23" customHeight="1">
      <c r="A950" s="181">
        <f t="shared" si="313"/>
        <v>45292</v>
      </c>
      <c r="B950" s="182">
        <v>95</v>
      </c>
      <c r="C950" s="245">
        <f>IFERROR(VLOOKUP($B950,'Aktuelle Einnahmen'!A2:G104,3,0),"")</f>
        <v>0</v>
      </c>
      <c r="D950" s="246">
        <f>IFERROR(VLOOKUP($B950,'Aktuelle Einnahmen'!A2:G104,2,0),"")</f>
        <v>0</v>
      </c>
      <c r="E950" s="247">
        <f>IFERROR(VLOOKUP($B950,'Aktuelle Einnahmen'!A2:G104,4,0),"")</f>
        <v>0</v>
      </c>
      <c r="F950" s="94">
        <f>IFERROR(VLOOKUP($B950,'Aktuelle Einnahmen'!A2:G104,5,0),"")</f>
        <v>0</v>
      </c>
      <c r="G950" s="94">
        <f>IFERROR(VLOOKUP($B950,'Aktuelle Einnahmen'!A2:G104,6,0),"")</f>
        <v>0</v>
      </c>
      <c r="H950" s="94">
        <f>IFERROR(VLOOKUP($B950,'Aktuelle Einnahmen'!A2:G104,7,0),"")</f>
        <v>0</v>
      </c>
      <c r="I950" s="186" t="e">
        <f>DATE(H950,G950,F950)</f>
        <v>#NUM!</v>
      </c>
      <c r="J950" s="472">
        <f ca="1">J940</f>
        <v>45475</v>
      </c>
      <c r="K950" s="501" t="str">
        <f t="shared" si="314"/>
        <v>+Inflat.-P</v>
      </c>
      <c r="L950" s="1262" t="str">
        <f>IFERROR(VLOOKUP(B950,'Aktuelle Einnahmen'!A22:I124,9,0),"")</f>
        <v>Auswahl treffen</v>
      </c>
      <c r="M950" s="1263"/>
      <c r="N950" s="261"/>
      <c r="O950" s="261"/>
      <c r="P950" s="261"/>
      <c r="Q950" s="261"/>
      <c r="R950" s="189"/>
      <c r="S950" s="190"/>
      <c r="T950" s="190"/>
      <c r="U950" s="191"/>
      <c r="V950" s="192"/>
      <c r="W950" s="190"/>
      <c r="X950" s="190"/>
      <c r="Y950" s="191"/>
      <c r="Z950" s="192"/>
      <c r="AA950" s="190"/>
      <c r="AB950" s="190"/>
      <c r="AC950" s="191"/>
      <c r="AD950" s="192"/>
      <c r="AE950" s="190"/>
      <c r="AF950" s="190"/>
      <c r="AG950" s="191"/>
      <c r="AH950" s="193"/>
      <c r="AI950" s="190"/>
      <c r="AJ950" s="190"/>
      <c r="AK950" s="374"/>
      <c r="AL950" s="348"/>
      <c r="AM950" s="354"/>
      <c r="AN950" s="354"/>
      <c r="AO950" s="354"/>
      <c r="AP950" s="354"/>
      <c r="AQ950" s="350"/>
      <c r="AR950" s="769"/>
      <c r="AS950" s="769"/>
      <c r="AT950" s="769"/>
      <c r="BM950" s="335"/>
    </row>
    <row r="951" spans="1:65" ht="22.25" customHeight="1">
      <c r="A951" s="181">
        <f t="shared" si="313"/>
        <v>45292</v>
      </c>
      <c r="B951" s="484" t="e">
        <f>DAY(I950)</f>
        <v>#NUM!</v>
      </c>
      <c r="C951" s="489" t="s">
        <v>158</v>
      </c>
      <c r="D951" s="520" t="e">
        <f>(I951*4)+J951/3+1</f>
        <v>#NUM!</v>
      </c>
      <c r="E951" s="194" t="e">
        <f>J953+1</f>
        <v>#NUM!</v>
      </c>
      <c r="F951" s="195" t="e">
        <f t="shared" ref="F951:F958" si="327">DAY(E951)</f>
        <v>#NUM!</v>
      </c>
      <c r="G951" s="196" t="e">
        <f t="shared" ref="G951:G958" si="328">MONTH(E951)</f>
        <v>#NUM!</v>
      </c>
      <c r="H951" s="195" t="e">
        <f t="shared" ref="H951:H958" si="329">YEAR(E951)</f>
        <v>#NUM!</v>
      </c>
      <c r="I951" s="197" t="e">
        <f>H951-(H950+2000)</f>
        <v>#NUM!</v>
      </c>
      <c r="J951" s="198" t="e">
        <f>G951-G950</f>
        <v>#NUM!</v>
      </c>
      <c r="K951" s="506" t="str">
        <f>L949</f>
        <v/>
      </c>
      <c r="L951" s="469"/>
      <c r="M951" s="473" t="e">
        <f ca="1">SUM(J950-E952)&amp;" Tage"</f>
        <v>#NUM!</v>
      </c>
      <c r="N951" s="206"/>
      <c r="O951" s="201"/>
      <c r="P951" s="201"/>
      <c r="Q951" s="202"/>
      <c r="R951" s="189"/>
      <c r="S951" s="203"/>
      <c r="T951" s="203"/>
      <c r="U951" s="204"/>
      <c r="V951" s="192"/>
      <c r="W951" s="203"/>
      <c r="X951" s="203"/>
      <c r="Y951" s="204"/>
      <c r="Z951" s="192"/>
      <c r="AA951" s="203"/>
      <c r="AB951" s="203"/>
      <c r="AC951" s="204"/>
      <c r="AD951" s="192"/>
      <c r="AE951" s="203"/>
      <c r="AF951" s="203"/>
      <c r="AG951" s="204"/>
      <c r="AH951" s="193"/>
      <c r="AI951" s="203"/>
      <c r="AJ951" s="203"/>
      <c r="AK951" s="375"/>
      <c r="AL951" s="348"/>
      <c r="AM951" s="354"/>
      <c r="AN951" s="354"/>
      <c r="AO951" s="354"/>
      <c r="AP951" s="354"/>
      <c r="AQ951" s="350"/>
      <c r="AR951" s="769"/>
      <c r="AS951" s="769"/>
      <c r="AT951" s="769"/>
      <c r="BM951" s="335"/>
    </row>
    <row r="952" spans="1:65" ht="22.25" customHeight="1">
      <c r="A952" s="181">
        <f t="shared" si="313"/>
        <v>45292</v>
      </c>
      <c r="B952" s="485"/>
      <c r="C952" s="490"/>
      <c r="D952" s="521"/>
      <c r="E952" s="194" t="e">
        <f>DATE(YEAR(E951),MONTH(E951)+3,DAY(E951)-1)</f>
        <v>#NUM!</v>
      </c>
      <c r="F952" s="195" t="e">
        <f t="shared" si="327"/>
        <v>#NUM!</v>
      </c>
      <c r="G952" s="196" t="e">
        <f t="shared" si="328"/>
        <v>#NUM!</v>
      </c>
      <c r="H952" s="195" t="e">
        <f t="shared" si="329"/>
        <v>#NUM!</v>
      </c>
      <c r="I952" s="244">
        <v>-1</v>
      </c>
      <c r="J952" s="198" t="e">
        <f>F951-F950</f>
        <v>#NUM!</v>
      </c>
      <c r="K952" s="501" t="str">
        <f t="shared" si="314"/>
        <v>+Inflat.-P</v>
      </c>
      <c r="L952" s="511" t="e">
        <f>IF(M949="Stufe A",IF(AND(L950="Auswahl treffen",D951&gt;=0,D951&lt;=1000),J949,IF(AND(L950="Vermögend und ambulant",D951&gt;8,D951&lt;=1000),130,IF(AND(L950="Vermögend und ambulant",D951&gt;4,D951&lt;=8),158,IF(AND(L950="Vermögend und ambulant",D951&gt;2,D951&lt;=4),192,IF(AND(L950="Vermögend und ambulant",D951&gt;1,D951&lt;=2),208,IF(AND(L950="Vermögend und ambulant",D951&gt;0,D951&lt;=1),298,IF(AND(L950="Vermögend und stationär",D951&gt;8,D951&lt;=1000),78,IF(AND(L950="Vermögend und stationär",D951&gt;4,D951&lt;=8),91,IF(AND(L950="Vermögend und stationär",D951&gt;2,D951&lt;=4),140,IF(AND(L950="Vermögend und stationär",D951&gt;1,D951&lt;=2),158,IF(AND(L950="Vermögend und stationär",D951&gt;0,D951&lt;=1),200,IF(AND(L950="Mittellos und ambulant",D951&gt;8,D951&lt;=1000),105,IF(AND(L950="Mittellos und ambulant",D951&gt;4,D951&lt;=8),122,IF(AND(L950="Mittellos und ambulant",D951&gt;2,D951&lt;=4),151,IF(AND(L950="Mittellos und ambulant",D951&gt;1,D951&lt;=2),170,IF(AND(L950="Mittellos und ambulant",D951&gt;0,D951&lt;=1),208,IF(AND(L950="Mittellos und stationär",D951&gt;8,D951&lt;=1000),62,IF(AND(L950="Mittellos und stationär",D951&gt;4,D951&lt;=8),87,IF(AND(L950="Mittellos und stationär",D951&gt;2,D951&lt;=4),124,IF(AND(L950="Mittellos und stationär",D951&gt;1,D951&lt;=2),129,IF(AND(L950="Mittellos und stationär",D951&gt;0,D951&lt;=1),194,""))))))))))))))))))))),IF(M949="Stufe B",IF(AND(L950="Auswahl treffen",D951&gt;=0,D951&lt;=1000),J949,IF(AND(L950="Vermögend und ambulant",D951&gt;8,D951&lt;=1000),161,IF(AND(L950="Vermögend und ambulant",D951&gt;4,D951&lt;=8),196,IF(AND(L950="Vermögend und ambulant",D951&gt;2,D951&lt;=4),238,IF(AND(L950="Vermögend und ambulant",D951&gt;1,D951&lt;=2),258,IF(AND(L950="Vermögend und ambulant",D951&gt;0,D951&lt;=1),370,IF(AND(L950="Vermögend und stationär",D951&gt;8,D951&lt;=1000),96,IF(AND(L950="Vermögend und stationär",D951&gt;4,D951&lt;=8),113,IF(AND(L950="Vermögend und stationär",D951&gt;2,D951&lt;=4),174,IF(AND(L950="Vermögend und stationär",D951&gt;1,D951&lt;=2),196,IF(AND(L950="Vermögend und stationär",D951&gt;0,D951&lt;=1),249,IF(AND(L950="Mittellos und ambulant",D951&gt;8,D951&lt;=1000),130,IF(AND(L950="Mittellos und ambulant",D951&gt;4,D951&lt;=8),151,IF(AND(L950="Mittellos und ambulant",D951&gt;2,D951&lt;=4),188,IF(AND(L950="Mittellos und ambulant",D951&gt;1,D951&lt;=2),211,IF(AND(L950="Mittellos und ambulant",D951&gt;0,D951&lt;=1),258,IF(AND(L950="Mittellos und stationär",D951&gt;8,D951&lt;=1000),78,IF(AND(L950="Mittellos und stationär",D951&gt;4,D951&lt;=8),107,IF(AND(L950="Mittellos und stationär",D951&gt;2,D951&lt;=4),154,IF(AND(L950="Mittellos und stationär",D951&gt;1,D951&lt;=2),158,IF(AND(L950="Mittellos und stationär",D951&gt;0,D951&lt;=1),241,""))))))))))))))))))))),IF(M949="Stufe C",IF(AND(L950="Auswahl treffen",D951&gt;=0,D951&lt;=1000),J949,IF(AND(L950="Vermögend und ambulant",D951&gt;8,D951&lt;=1000),211,IF(AND(L950="Vermögend und ambulant",D951&gt;4,D951&lt;=8),257,IF(AND(L950="Vermögend und ambulant",D951&gt;2,D951&lt;=4),312,IF(AND(L950="Vermögend und ambulant",D951&gt;1,D951&lt;=2),339,IF(AND(L950="Vermögend und ambulant",D951&gt;0,D951&lt;=1),486,IF(AND(L950="Vermögend und stationär",D951&gt;8,D951&lt;=1000),127,IF(AND(L950="Vermögend und stationär",D951&gt;4,D951&lt;=8),149,IF(AND(L950="Vermögend und stationär",D951&gt;2,D951&lt;=4),229,IF(AND(L950="Vermögend und stationär",D951&gt;1,D951&lt;=2),257,IF(AND(L950="Vermögend und stationär",D951&gt;0,D951&lt;=1),327,IF(AND(L950="Mittellos und ambulant",D951&gt;8,D951&lt;=1000),171,IF(AND(L950="Mittellos und ambulant",D951&gt;4,D951&lt;=8),198,IF(AND(L950="Mittellos und ambulant",D951&gt;2,D951&lt;=4),246,IF(AND(L950="Mittellos und ambulant",D951&gt;1,D951&lt;=2),277,IF(AND(L950="Mittellos und ambulant",D951&gt;0,D951&lt;=1),339,IF(AND(L950="Mittellos und stationär",D951&gt;8,D951&lt;=1000),102,IF(AND(L950="Mittellos und stationär",D951&gt;4,D951&lt;=8),141,IF(AND(L950="Mittellos und stationär",D951&gt;2,D951&lt;=4),202,IF(AND(L950="Mittellos und stationär",D951&gt;1,D951&lt;=2),208,IF(AND(L950="Mittellos und stationär",D951&gt;0,D951&lt;=1),317,""))))))))))))))))))))),"")))*3+(J949*90)</f>
        <v>#NUM!</v>
      </c>
      <c r="M952" s="507" t="str">
        <f>CONCATENATE(K952, K951)</f>
        <v>+Inflat.-P</v>
      </c>
      <c r="N952" s="206" t="s">
        <v>118</v>
      </c>
      <c r="O952" s="207"/>
      <c r="P952" s="207"/>
      <c r="Q952" s="208"/>
      <c r="R952" s="187"/>
      <c r="S952" s="209" t="s">
        <v>118</v>
      </c>
      <c r="T952" s="201" t="s">
        <v>117</v>
      </c>
      <c r="U952" s="210" t="s">
        <v>26</v>
      </c>
      <c r="V952" s="192"/>
      <c r="W952" s="203"/>
      <c r="X952" s="203"/>
      <c r="Y952" s="210"/>
      <c r="Z952" s="192"/>
      <c r="AA952" s="203"/>
      <c r="AB952" s="203"/>
      <c r="AC952" s="210"/>
      <c r="AD952" s="192"/>
      <c r="AE952" s="203"/>
      <c r="AF952" s="203"/>
      <c r="AG952" s="210"/>
      <c r="AH952" s="193"/>
      <c r="AI952" s="203"/>
      <c r="AJ952" s="203"/>
      <c r="AK952" s="376"/>
      <c r="AL952" s="348" t="s">
        <v>148</v>
      </c>
      <c r="AM952" s="354">
        <f>IF(SUM(N950:N958)=SUM(S950:S958), 0, SUM(N950:N958)-SUM(S950:S958))</f>
        <v>0</v>
      </c>
      <c r="AN952" s="354"/>
      <c r="AO952" s="354"/>
      <c r="AP952" s="354"/>
      <c r="AQ952" s="350">
        <f>AM952+AN952+AO952+AP952</f>
        <v>0</v>
      </c>
      <c r="AR952" s="769"/>
      <c r="AS952" s="769"/>
      <c r="AT952" s="769"/>
      <c r="BM952" s="335"/>
    </row>
    <row r="953" spans="1:65" ht="22.25" customHeight="1">
      <c r="A953" s="181">
        <f t="shared" si="313"/>
        <v>45292</v>
      </c>
      <c r="B953" s="484" t="e">
        <f>MONTH(I950)</f>
        <v>#NUM!</v>
      </c>
      <c r="C953" s="489" t="s">
        <v>158</v>
      </c>
      <c r="D953" s="522" t="e">
        <f>D951+1</f>
        <v>#NUM!</v>
      </c>
      <c r="E953" s="211" t="e">
        <f>DATE(YEAR(E952),MONTH(E952),DAY(E952)+1)</f>
        <v>#NUM!</v>
      </c>
      <c r="F953" s="212" t="e">
        <f t="shared" si="327"/>
        <v>#NUM!</v>
      </c>
      <c r="G953" s="213" t="e">
        <f t="shared" si="328"/>
        <v>#NUM!</v>
      </c>
      <c r="H953" s="212" t="e">
        <f t="shared" si="329"/>
        <v>#NUM!</v>
      </c>
      <c r="I953" s="214" t="str">
        <f>IF(D950&lt;&gt;0,"-1T","")</f>
        <v/>
      </c>
      <c r="J953" s="215" t="e">
        <f>DATE($B955,I954,$B951)</f>
        <v>#NUM!</v>
      </c>
      <c r="K953" s="506" t="str">
        <f t="shared" si="314"/>
        <v/>
      </c>
      <c r="L953" s="470"/>
      <c r="M953" s="473" t="e">
        <f ca="1">SUM(J950-E954)&amp;" Tage"</f>
        <v>#NUM!</v>
      </c>
      <c r="N953" s="216"/>
      <c r="O953" s="217"/>
      <c r="P953" s="188"/>
      <c r="Q953" s="217"/>
      <c r="R953" s="189"/>
      <c r="S953" s="190"/>
      <c r="T953" s="190"/>
      <c r="U953" s="191"/>
      <c r="V953" s="192"/>
      <c r="W953" s="190"/>
      <c r="X953" s="190"/>
      <c r="Y953" s="191"/>
      <c r="Z953" s="192"/>
      <c r="AA953" s="190"/>
      <c r="AB953" s="190"/>
      <c r="AC953" s="191"/>
      <c r="AD953" s="192"/>
      <c r="AE953" s="190"/>
      <c r="AF953" s="190"/>
      <c r="AG953" s="191"/>
      <c r="AH953" s="193"/>
      <c r="AI953" s="190"/>
      <c r="AJ953" s="190"/>
      <c r="AK953" s="374"/>
      <c r="AL953" s="348"/>
      <c r="AM953" s="354"/>
      <c r="AN953" s="354"/>
      <c r="AO953" s="354"/>
      <c r="AP953" s="354"/>
      <c r="AQ953" s="350"/>
      <c r="AR953" s="769"/>
      <c r="AS953" s="769"/>
      <c r="AT953" s="769"/>
      <c r="BM953" s="335"/>
    </row>
    <row r="954" spans="1:65" ht="22.25" customHeight="1">
      <c r="A954" s="181">
        <f t="shared" si="313"/>
        <v>45292</v>
      </c>
      <c r="B954" s="485"/>
      <c r="C954" s="490"/>
      <c r="D954" s="521"/>
      <c r="E954" s="218" t="e">
        <f>DATE(YEAR(E953),MONTH(E953)+3,DAY(E953)-1)</f>
        <v>#NUM!</v>
      </c>
      <c r="F954" s="212" t="e">
        <f t="shared" si="327"/>
        <v>#NUM!</v>
      </c>
      <c r="G954" s="213" t="e">
        <f t="shared" si="328"/>
        <v>#NUM!</v>
      </c>
      <c r="H954" s="212" t="e">
        <f t="shared" si="329"/>
        <v>#NUM!</v>
      </c>
      <c r="I954" s="219">
        <f>MAX(I955:I958)</f>
        <v>9</v>
      </c>
      <c r="J954" s="220" t="e">
        <f>DATE(YEAR(J953)+1,MONTH(J953),DAY(J953))</f>
        <v>#NUM!</v>
      </c>
      <c r="K954" s="501" t="str">
        <f t="shared" si="314"/>
        <v>+Inflat.-P</v>
      </c>
      <c r="L954" s="508" t="e">
        <f>IF(M949="Stufe A",IF(AND(L950="Auswahl treffen",D953&gt;=0,D953&lt;=1000),J949,IF(AND(L950="Vermögend und ambulant",D953&gt;8,D953&lt;=1000),130,IF(AND(L950="Vermögend und ambulant",D953&gt;4,D953&lt;=8),158,IF(AND(L950="Vermögend und ambulant",D953&gt;2,D953&lt;=4),192,IF(AND(L950="Vermögend und ambulant",D953&gt;1,D953&lt;=2),208,IF(AND(L950="Vermögend und ambulant",D953&gt;0,D953&lt;=1),298,IF(AND(L950="Vermögend und stationär",D953&gt;8,D953&lt;=1000),78,IF(AND(L950="Vermögend und stationär",D953&gt;4,D953&lt;=8),91,IF(AND(L950="Vermögend und stationär",D953&gt;2,D953&lt;=4),140,IF(AND(L950="Vermögend und stationär",D953&gt;1,D953&lt;=2),158,IF(AND(L950="Vermögend und stationär",D953&gt;0,D953&lt;=1),200,IF(AND(L950="Mittellos und ambulant",D953&gt;8,D953&lt;=1000),105,IF(AND(L950="Mittellos und ambulant",D953&gt;4,D953&lt;=8),122,IF(AND(L950="Mittellos und ambulant",D953&gt;2,D953&lt;=4),151,IF(AND(L950="Mittellos und ambulant",D953&gt;1,D953&lt;=2),170,IF(AND(L950="Mittellos und ambulant",D953&gt;0,D953&lt;=1),208,IF(AND(L950="Mittellos und stationär",D953&gt;8,D953&lt;=1000),62,IF(AND(L950="Mittellos und stationär",D953&gt;4,D953&lt;=8),87,IF(AND(L950="Mittellos und stationär",D953&gt;2,D953&lt;=4),124,IF(AND(L950="Mittellos und stationär",D953&gt;1,D953&lt;=2),129,IF(AND(L950="Mittellos und stationär",D953&gt;0,D953&lt;=1),194,""))))))))))))))))))))),IF(M949="Stufe B",IF(AND(L950="Auswahl treffen",D953&gt;=0,D953&lt;=1000),J949,IF(AND(L950="Vermögend und ambulant",D953&gt;8,D953&lt;=1000),161,IF(AND(L950="Vermögend und ambulant",D953&gt;4,D953&lt;=8),196,IF(AND(L950="Vermögend und ambulant",D953&gt;2,D953&lt;=4),238,IF(AND(L950="Vermögend und ambulant",D953&gt;1,D953&lt;=2),258,IF(AND(L950="Vermögend und ambulant",D953&gt;0,D953&lt;=1),370,IF(AND(L950="Vermögend und stationär",D953&gt;8,D953&lt;=1000),96,IF(AND(L950="Vermögend und stationär",D953&gt;4,D953&lt;=8),113,IF(AND(L950="Vermögend und stationär",D953&gt;2,D953&lt;=4),174,IF(AND(L950="Vermögend und stationär",D953&gt;1,D953&lt;=2),196,IF(AND(L950="Vermögend und stationär",D953&gt;0,D953&lt;=1),249,IF(AND(L950="Mittellos und ambulant",D953&gt;8,D953&lt;=1000),130,IF(AND(L950="Mittellos und ambulant",D953&gt;4,D953&lt;=8),151,IF(AND(L950="Mittellos und ambulant",D953&gt;2,D953&lt;=4),188,IF(AND(L950="Mittellos und ambulant",D953&gt;1,D953&lt;=2),211,IF(AND(L950="Mittellos und ambulant",D953&gt;0,D953&lt;=1),258,IF(AND(L950="Mittellos und stationär",D953&gt;8,D953&lt;=1000),78,IF(AND(L950="Mittellos und stationär",D953&gt;4,D953&lt;=8),107,IF(AND(L950="Mittellos und stationär",D953&gt;2,D953&lt;=4),154,IF(AND(L950="Mittellos und stationär",D953&gt;1,D953&lt;=2),158,IF(AND(L950="Mittellos und stationär",D953&gt;0,D953&lt;=1),241,""))))))))))))))))))))),IF(M949="Stufe C",IF(AND(L950="Auswahl treffen",D953&gt;=0,D953&lt;=1000),J949,IF(AND(L950="Vermögend und ambulant",D953&gt;8,D953&lt;=1000),211,IF(AND(L950="Vermögend und ambulant",D953&gt;4,D953&lt;=8),257,IF(AND(L950="Vermögend und ambulant",D953&gt;2,D953&lt;=4),312,IF(AND(L950="Vermögend und ambulant",D953&gt;1,D953&lt;=2),339,IF(AND(L950="Vermögend und ambulant",D953&gt;0,D953&lt;=1),486,IF(AND(L950="Vermögend und stationär",D953&gt;8,D953&lt;=1000),127,IF(AND(L950="Vermögend und stationär",D953&gt;4,D953&lt;=8),149,IF(AND(L950="Vermögend und stationär",D953&gt;2,D953&lt;=4),229,IF(AND(L950="Vermögend und stationär",D953&gt;1,D953&lt;=2),257,IF(AND(L950="Vermögend und stationär",D953&gt;0,D953&lt;=1),327,IF(AND(L950="Mittellos und ambulant",D953&gt;8,D953&lt;=1000),171,IF(AND(L950="Mittellos und ambulant",D953&gt;4,D953&lt;=8),198,IF(AND(L950="Mittellos und ambulant",D953&gt;2,D953&lt;=4),246,IF(AND(L950="Mittellos und ambulant",D953&gt;1,D953&lt;=2),277,IF(AND(L950="Mittellos und ambulant",D953&gt;0,D953&lt;=1),339,IF(AND(L950="Mittellos und stationär",D953&gt;8,D953&lt;=1000),102,IF(AND(L950="Mittellos und stationär",D953&gt;4,D953&lt;=8),141,IF(AND(L950="Mittellos und stationär",D953&gt;2,D953&lt;=4),202,IF(AND(L950="Mittellos und stationär",D953&gt;1,D953&lt;=2),208,IF(AND(L950="Mittellos und stationär",D953&gt;0,D953&lt;=1),317,""))))))))))))))))))))),"")))*3+(J949*90)</f>
        <v>#NUM!</v>
      </c>
      <c r="M954" s="507" t="str">
        <f>CONCATENATE(K954, K953)</f>
        <v>+Inflat.-P</v>
      </c>
      <c r="N954" s="216"/>
      <c r="O954" s="188" t="s">
        <v>118</v>
      </c>
      <c r="P954" s="188"/>
      <c r="Q954" s="221"/>
      <c r="R954" s="199"/>
      <c r="S954" s="190"/>
      <c r="T954" s="190"/>
      <c r="U954" s="191"/>
      <c r="V954" s="192"/>
      <c r="W954" s="222" t="s">
        <v>118</v>
      </c>
      <c r="X954" s="222" t="s">
        <v>117</v>
      </c>
      <c r="Y954" s="191" t="s">
        <v>26</v>
      </c>
      <c r="Z954" s="192"/>
      <c r="AA954" s="190"/>
      <c r="AB954" s="190"/>
      <c r="AC954" s="191"/>
      <c r="AD954" s="192"/>
      <c r="AE954" s="190"/>
      <c r="AF954" s="190"/>
      <c r="AG954" s="191"/>
      <c r="AH954" s="193"/>
      <c r="AI954" s="190"/>
      <c r="AJ954" s="190"/>
      <c r="AK954" s="374"/>
      <c r="AL954" s="348" t="s">
        <v>149</v>
      </c>
      <c r="AM954" s="354"/>
      <c r="AN954" s="354">
        <f>IF(SUM(O950:O958)=SUM(W950:W958), 0, SUM(O950:O958)-SUM(W950:W958))</f>
        <v>0</v>
      </c>
      <c r="AO954" s="354"/>
      <c r="AP954" s="354"/>
      <c r="AQ954" s="350">
        <f>AM954+AN954+AO954+AP954</f>
        <v>0</v>
      </c>
      <c r="AR954" s="769"/>
      <c r="AS954" s="769"/>
      <c r="AT954" s="769"/>
      <c r="BM954" s="335"/>
    </row>
    <row r="955" spans="1:65" ht="22.25" customHeight="1">
      <c r="A955" s="181">
        <f t="shared" si="313"/>
        <v>45292</v>
      </c>
      <c r="B955" s="484">
        <f>YEAR($A956)-1</f>
        <v>2023</v>
      </c>
      <c r="C955" s="489" t="s">
        <v>158</v>
      </c>
      <c r="D955" s="520" t="e">
        <f>D953+1</f>
        <v>#NUM!</v>
      </c>
      <c r="E955" s="194" t="e">
        <f>DATE(YEAR(E954),MONTH(E954),DAY(E954)+1)</f>
        <v>#NUM!</v>
      </c>
      <c r="F955" s="195" t="e">
        <f t="shared" si="327"/>
        <v>#NUM!</v>
      </c>
      <c r="G955" s="196" t="e">
        <f t="shared" si="328"/>
        <v>#NUM!</v>
      </c>
      <c r="H955" s="195" t="e">
        <f t="shared" si="329"/>
        <v>#NUM!</v>
      </c>
      <c r="I955" s="197">
        <f>IF(J957&lt;13,J957,"")</f>
        <v>9</v>
      </c>
      <c r="J955" s="224">
        <f>G950</f>
        <v>0</v>
      </c>
      <c r="K955" s="506" t="str">
        <f t="shared" si="314"/>
        <v/>
      </c>
      <c r="L955" s="471"/>
      <c r="M955" s="473" t="e">
        <f ca="1">SUM(J950-E956)&amp;" Tage"</f>
        <v>#NUM!</v>
      </c>
      <c r="N955" s="200"/>
      <c r="O955" s="201"/>
      <c r="P955" s="201"/>
      <c r="Q955" s="202"/>
      <c r="R955" s="189"/>
      <c r="S955" s="203"/>
      <c r="T955" s="203"/>
      <c r="U955" s="204"/>
      <c r="V955" s="192"/>
      <c r="W955" s="203"/>
      <c r="X955" s="203"/>
      <c r="Y955" s="204"/>
      <c r="Z955" s="192"/>
      <c r="AA955" s="203"/>
      <c r="AB955" s="203"/>
      <c r="AC955" s="204"/>
      <c r="AD955" s="192"/>
      <c r="AE955" s="203"/>
      <c r="AF955" s="203"/>
      <c r="AG955" s="204"/>
      <c r="AH955" s="193"/>
      <c r="AI955" s="203"/>
      <c r="AJ955" s="203"/>
      <c r="AK955" s="375"/>
      <c r="AL955" s="348"/>
      <c r="AM955" s="354"/>
      <c r="AN955" s="354"/>
      <c r="AO955" s="354"/>
      <c r="AP955" s="354"/>
      <c r="AQ955" s="350"/>
      <c r="AR955" s="769"/>
      <c r="AS955" s="769"/>
      <c r="AT955" s="769"/>
      <c r="BM955" s="335"/>
    </row>
    <row r="956" spans="1:65" ht="22.25" customHeight="1">
      <c r="A956" s="181">
        <f t="shared" si="313"/>
        <v>45292</v>
      </c>
      <c r="B956" s="485"/>
      <c r="C956" s="490"/>
      <c r="D956" s="521"/>
      <c r="E956" s="194" t="e">
        <f>DATE(YEAR(E955),MONTH(E955)+3,DAY(E955)-1)</f>
        <v>#NUM!</v>
      </c>
      <c r="F956" s="195" t="e">
        <f t="shared" si="327"/>
        <v>#NUM!</v>
      </c>
      <c r="G956" s="196" t="e">
        <f t="shared" si="328"/>
        <v>#NUM!</v>
      </c>
      <c r="H956" s="195" t="e">
        <f t="shared" si="329"/>
        <v>#NUM!</v>
      </c>
      <c r="I956" s="244">
        <f>IF(J958&lt;13,J958,"")</f>
        <v>6</v>
      </c>
      <c r="J956" s="224">
        <f>J955+3</f>
        <v>3</v>
      </c>
      <c r="K956" s="501" t="str">
        <f t="shared" si="314"/>
        <v>+Inflat.-P</v>
      </c>
      <c r="L956" s="511" t="e">
        <f>IF(M949="Stufe A",IF(AND(L950="Auswahl treffen",D955&gt;=0,D955&lt;=1000),J949,IF(AND(L950="Vermögend und ambulant",D955&gt;8,D955&lt;=1000),130,IF(AND(L950="Vermögend und ambulant",D955&gt;4,D955&lt;=8),158,IF(AND(L950="Vermögend und ambulant",D955&gt;2,D955&lt;=4),192,IF(AND(L950="Vermögend und ambulant",D955&gt;1,D955&lt;=2),208,IF(AND(L950="Vermögend und ambulant",D955&gt;0,D955&lt;=1),298,IF(AND(L950="Vermögend und stationär",D955&gt;8,D955&lt;=1000),78,IF(AND(L950="Vermögend und stationär",D955&gt;4,D955&lt;=8),91,IF(AND(L950="Vermögend und stationär",D955&gt;2,D955&lt;=4),140,IF(AND(L950="Vermögend und stationär",D955&gt;1,D955&lt;=2),158,IF(AND(L950="Vermögend und stationär",D955&gt;0,D955&lt;=1),200,IF(AND(L950="Mittellos und ambulant",D955&gt;8,D955&lt;=1000),105,IF(AND(L950="Mittellos und ambulant",D955&gt;4,D955&lt;=8),122,IF(AND(L950="Mittellos und ambulant",D955&gt;2,D955&lt;=4),151,IF(AND(L950="Mittellos und ambulant",D955&gt;1,D955&lt;=2),170,IF(AND(L950="Mittellos und ambulant",D955&gt;0,D955&lt;=1),208,IF(AND(L950="Mittellos und stationär",D955&gt;8,D955&lt;=1000),62,IF(AND(L950="Mittellos und stationär",D955&gt;4,D955&lt;=8),87,IF(AND(L950="Mittellos und stationär",D955&gt;2,D955&lt;=4),124,IF(AND(L950="Mittellos und stationär",D955&gt;1,D955&lt;=2),129,IF(AND(L950="Mittellos und stationär",D955&gt;0,D955&lt;=1),194,""))))))))))))))))))))),IF(M949="Stufe B",IF(AND(L950="Auswahl treffen",D955&gt;=0,D955&lt;=1000),J949,IF(AND(L950="Vermögend und ambulant",D955&gt;8,D955&lt;=1000),161,IF(AND(L950="Vermögend und ambulant",D955&gt;4,D955&lt;=8),196,IF(AND(L950="Vermögend und ambulant",D955&gt;2,D955&lt;=4),238,IF(AND(L950="Vermögend und ambulant",D955&gt;1,D955&lt;=2),258,IF(AND(L950="Vermögend und ambulant",D955&gt;0,D955&lt;=1),370,IF(AND(L950="Vermögend und stationär",D955&gt;8,D955&lt;=1000),96,IF(AND(L950="Vermögend und stationär",D955&gt;4,D955&lt;=8),113,IF(AND(L950="Vermögend und stationär",D955&gt;2,D955&lt;=4),174,IF(AND(L950="Vermögend und stationär",D955&gt;1,D955&lt;=2),196,IF(AND(L950="Vermögend und stationär",D955&gt;0,D955&lt;=1),249,IF(AND(L950="Mittellos und ambulant",D955&gt;8,D955&lt;=1000),130,IF(AND(L950="Mittellos und ambulant",D955&gt;4,D955&lt;=8),151,IF(AND(L950="Mittellos und ambulant",D955&gt;2,D955&lt;=4),188,IF(AND(L950="Mittellos und ambulant",D955&gt;1,D955&lt;=2),211,IF(AND(L950="Mittellos und ambulant",D955&gt;0,D955&lt;=1),258,IF(AND(L950="Mittellos und stationär",D955&gt;8,D955&lt;=1000),78,IF(AND(L950="Mittellos und stationär",D955&gt;4,D955&lt;=8),107,IF(AND(L950="Mittellos und stationär",D955&gt;2,D955&lt;=4),154,IF(AND(L950="Mittellos und stationär",D955&gt;1,D955&lt;=2),158,IF(AND(L950="Mittellos und stationär",D955&gt;0,D955&lt;=1),241,""))))))))))))))))))))),IF(M949="Stufe C",IF(AND(L950="Auswahl treffen",D955&gt;=0,D955&lt;=1000),J949,IF(AND(L950="Vermögend und ambulant",D955&gt;8,D955&lt;=1000),211,IF(AND(L950="Vermögend und ambulant",D955&gt;4,D955&lt;=8),257,IF(AND(L950="Vermögend und ambulant",D955&gt;2,D955&lt;=4),312,IF(AND(L950="Vermögend und ambulant",D955&gt;1,D955&lt;=2),339,IF(AND(L950="Vermögend und ambulant",D955&gt;0,D955&lt;=1),486,IF(AND(L950="Vermögend und stationär",D955&gt;8,D955&lt;=1000),127,IF(AND(L950="Vermögend und stationär",D955&gt;4,D955&lt;=8),149,IF(AND(L950="Vermögend und stationär",D955&gt;2,D955&lt;=4),229,IF(AND(L950="Vermögend und stationär",D955&gt;1,D955&lt;=2),257,IF(AND(L950="Vermögend und stationär",D955&gt;0,D955&lt;=1),327,IF(AND(L950="Mittellos und ambulant",D955&gt;8,D955&lt;=1000),171,IF(AND(L950="Mittellos und ambulant",D955&gt;4,D955&lt;=8),198,IF(AND(L950="Mittellos und ambulant",D955&gt;2,D955&lt;=4),246,IF(AND(L950="Mittellos und ambulant",D955&gt;1,D955&lt;=2),277,IF(AND(L950="Mittellos und ambulant",D955&gt;0,D955&lt;=1),339,IF(AND(L950="Mittellos und stationär",D955&gt;8,D955&lt;=1000),102,IF(AND(L950="Mittellos und stationär",D955&gt;4,D955&lt;=8),141,IF(AND(L950="Mittellos und stationär",D955&gt;2,D955&lt;=4),202,IF(AND(L950="Mittellos und stationär",D955&gt;1,D955&lt;=2),208,IF(AND(L950="Mittellos und stationär",D955&gt;0,D955&lt;=1),317,""))))))))))))))))))))),"")))*3+(J949*90)</f>
        <v>#NUM!</v>
      </c>
      <c r="M956" s="507" t="str">
        <f>CONCATENATE(K956, K955)</f>
        <v>+Inflat.-P</v>
      </c>
      <c r="N956" s="206"/>
      <c r="O956" s="207"/>
      <c r="P956" s="206" t="s">
        <v>118</v>
      </c>
      <c r="Q956" s="226"/>
      <c r="R956" s="189"/>
      <c r="S956" s="203"/>
      <c r="T956" s="203"/>
      <c r="U956" s="204"/>
      <c r="V956" s="192"/>
      <c r="W956" s="203"/>
      <c r="X956" s="203"/>
      <c r="Y956" s="204"/>
      <c r="Z956" s="192"/>
      <c r="AA956" s="209" t="s">
        <v>118</v>
      </c>
      <c r="AB956" s="209" t="s">
        <v>117</v>
      </c>
      <c r="AC956" s="204" t="s">
        <v>26</v>
      </c>
      <c r="AD956" s="192"/>
      <c r="AE956" s="203"/>
      <c r="AF956" s="203"/>
      <c r="AG956" s="204"/>
      <c r="AH956" s="193"/>
      <c r="AI956" s="203"/>
      <c r="AJ956" s="203"/>
      <c r="AK956" s="375"/>
      <c r="AL956" s="348" t="s">
        <v>150</v>
      </c>
      <c r="AM956" s="354"/>
      <c r="AN956" s="354"/>
      <c r="AO956" s="354">
        <f>IF(SUM(P950:P958)=SUM(AA950:AA958), 0, SUM(P950:P958)-SUM(AA950:AA958))</f>
        <v>0</v>
      </c>
      <c r="AP956" s="354"/>
      <c r="AQ956" s="350">
        <f>AM956+AN956+AO956+AP956</f>
        <v>0</v>
      </c>
      <c r="AR956" s="769"/>
      <c r="AS956" s="769"/>
      <c r="AT956" s="769"/>
      <c r="BM956" s="335"/>
    </row>
    <row r="957" spans="1:65" ht="22.25" customHeight="1">
      <c r="A957" s="181">
        <f t="shared" si="313"/>
        <v>45292</v>
      </c>
      <c r="B957" s="486"/>
      <c r="C957" s="489" t="s">
        <v>158</v>
      </c>
      <c r="D957" s="522" t="e">
        <f>D955+1</f>
        <v>#NUM!</v>
      </c>
      <c r="E957" s="211" t="e">
        <f>DATE(YEAR(E956),MONTH(E956),DAY(E956)+1)</f>
        <v>#NUM!</v>
      </c>
      <c r="F957" s="227" t="e">
        <f t="shared" si="327"/>
        <v>#NUM!</v>
      </c>
      <c r="G957" s="228" t="e">
        <f t="shared" si="328"/>
        <v>#NUM!</v>
      </c>
      <c r="H957" s="227" t="e">
        <f t="shared" si="329"/>
        <v>#NUM!</v>
      </c>
      <c r="I957" s="231">
        <f>IF(J956&lt;13,J956,"")</f>
        <v>3</v>
      </c>
      <c r="J957" s="230">
        <f>J958+3</f>
        <v>9</v>
      </c>
      <c r="K957" s="501" t="str">
        <f t="shared" si="314"/>
        <v/>
      </c>
      <c r="L957" s="471"/>
      <c r="M957" s="473" t="e">
        <f ca="1">SUM(J950-E958)&amp;" Tage"</f>
        <v>#NUM!</v>
      </c>
      <c r="N957" s="216"/>
      <c r="O957" s="188"/>
      <c r="P957" s="188"/>
      <c r="Q957" s="217"/>
      <c r="R957" s="189"/>
      <c r="S957" s="190"/>
      <c r="T957" s="190"/>
      <c r="U957" s="191"/>
      <c r="V957" s="192"/>
      <c r="W957" s="190"/>
      <c r="X957" s="190"/>
      <c r="Y957" s="191"/>
      <c r="Z957" s="192"/>
      <c r="AA957" s="190"/>
      <c r="AB957" s="190"/>
      <c r="AC957" s="191"/>
      <c r="AD957" s="192"/>
      <c r="AE957" s="190"/>
      <c r="AF957" s="190"/>
      <c r="AG957" s="191"/>
      <c r="AH957" s="193"/>
      <c r="AI957" s="190"/>
      <c r="AJ957" s="190"/>
      <c r="AK957" s="374"/>
      <c r="AL957" s="348"/>
      <c r="AM957" s="354"/>
      <c r="AN957" s="354"/>
      <c r="AO957" s="354"/>
      <c r="AP957" s="354"/>
      <c r="AQ957" s="350"/>
      <c r="AR957" s="769"/>
      <c r="AS957" s="769"/>
      <c r="AT957" s="769"/>
      <c r="BM957" s="335"/>
    </row>
    <row r="958" spans="1:65" ht="22.25" customHeight="1">
      <c r="A958" s="181">
        <f t="shared" si="313"/>
        <v>45292</v>
      </c>
      <c r="B958" s="485"/>
      <c r="C958" s="490"/>
      <c r="D958" s="521"/>
      <c r="E958" s="218" t="e">
        <f>DATE(YEAR(E957),MONTH(E957)+3,DAY(E957)-1)</f>
        <v>#NUM!</v>
      </c>
      <c r="F958" s="227" t="e">
        <f t="shared" si="327"/>
        <v>#NUM!</v>
      </c>
      <c r="G958" s="228" t="e">
        <f t="shared" si="328"/>
        <v>#NUM!</v>
      </c>
      <c r="H958" s="227" t="e">
        <f t="shared" si="329"/>
        <v>#NUM!</v>
      </c>
      <c r="I958" s="231">
        <f>IF(J955&lt;13,J955,"")</f>
        <v>0</v>
      </c>
      <c r="J958" s="230">
        <f>J956+3</f>
        <v>6</v>
      </c>
      <c r="K958" s="506" t="str">
        <f t="shared" si="314"/>
        <v>+Inflat.-P</v>
      </c>
      <c r="L958" s="508" t="e">
        <f>IF(M949="Stufe A",IF(AND(L950="Auswahl treffen",D957&gt;=0,D957&lt;=1000),J949,IF(AND(L950="Vermögend und ambulant",D957&gt;8,D957&lt;=1000),130,IF(AND(L950="Vermögend und ambulant",D957&gt;4,D957&lt;=8),158,IF(AND(L950="Vermögend und ambulant",D957&gt;2,D957&lt;=4),192,IF(AND(L950="Vermögend und ambulant",D957&gt;1,D957&lt;=2),208,IF(AND(L950="Vermögend und ambulant",D957&gt;0,D957&lt;=1),298,IF(AND(L950="Vermögend und stationär",D957&gt;8,D957&lt;=1000),78,IF(AND(L950="Vermögend und stationär",D957&gt;4,D957&lt;=8),91,IF(AND(L950="Vermögend und stationär",D957&gt;2,D957&lt;=4),140,IF(AND(L950="Vermögend und stationär",D957&gt;1,D957&lt;=2),158,IF(AND(L950="Vermögend und stationär",D957&gt;0,D957&lt;=1),200,IF(AND(L950="Mittellos und ambulant",D957&gt;8,D957&lt;=1000),105,IF(AND(L950="Mittellos und ambulant",D957&gt;4,D957&lt;=8),122,IF(AND(L950="Mittellos und ambulant",D957&gt;2,D957&lt;=4),151,IF(AND(L950="Mittellos und ambulant",D957&gt;1,D957&lt;=2),170,IF(AND(L950="Mittellos und ambulant",D957&gt;0,D957&lt;=1),208,IF(AND(L950="Mittellos und stationär",D957&gt;8,D957&lt;=1000),62,IF(AND(L950="Mittellos und stationär",D957&gt;4,D957&lt;=8),87,IF(AND(L950="Mittellos und stationär",D957&gt;2,D957&lt;=4),124,IF(AND(L950="Mittellos und stationär",D957&gt;1,D957&lt;=2),129,IF(AND(L950="Mittellos und stationär",D957&gt;0,D957&lt;=1),194,""))))))))))))))))))))),IF(M949="Stufe B",IF(AND(L950="Auswahl treffen",D957&gt;=0,D957&lt;=1000),J949,IF(AND(L950="Vermögend und ambulant",D957&gt;8,D957&lt;=1000),161,IF(AND(L950="Vermögend und ambulant",D957&gt;4,D957&lt;=8),196,IF(AND(L950="Vermögend und ambulant",D957&gt;2,D957&lt;=4),238,IF(AND(L950="Vermögend und ambulant",D957&gt;1,D957&lt;=2),258,IF(AND(L950="Vermögend und ambulant",D957&gt;0,D957&lt;=1),370,IF(AND(L950="Vermögend und stationär",D957&gt;8,D957&lt;=1000),96,IF(AND(L950="Vermögend und stationär",D957&gt;4,D957&lt;=8),113,IF(AND(L950="Vermögend und stationär",D957&gt;2,D957&lt;=4),174,IF(AND(L950="Vermögend und stationär",D957&gt;1,D957&lt;=2),196,IF(AND(L950="Vermögend und stationär",D957&gt;0,D957&lt;=1),249,IF(AND(L950="Mittellos und ambulant",D957&gt;8,D957&lt;=1000),130,IF(AND(L950="Mittellos und ambulant",D957&gt;4,D957&lt;=8),151,IF(AND(L950="Mittellos und ambulant",D957&gt;2,D957&lt;=4),188,IF(AND(L950="Mittellos und ambulant",D957&gt;1,D957&lt;=2),211,IF(AND(L950="Mittellos und ambulant",D957&gt;0,D957&lt;=1),258,IF(AND(L950="Mittellos und stationär",D957&gt;8,D957&lt;=1000),78,IF(AND(L950="Mittellos und stationär",D957&gt;4,D957&lt;=8),107,IF(AND(L950="Mittellos und stationär",D957&gt;2,D957&lt;=4),154,IF(AND(L950="Mittellos und stationär",D957&gt;1,D957&lt;=2),158,IF(AND(L950="Mittellos und stationär",D957&gt;0,D957&lt;=1),241,""))))))))))))))))))))),IF(M949="Stufe C",IF(AND(L950="Auswahl treffen",D957&gt;=0,D957&lt;=1000),J949,IF(AND(L950="Vermögend und ambulant",D957&gt;8,D957&lt;=1000),211,IF(AND(L950="Vermögend und ambulant",D957&gt;4,D957&lt;=8),257,IF(AND(L950="Vermögend und ambulant",D957&gt;2,D957&lt;=4),312,IF(AND(L950="Vermögend und ambulant",D957&gt;1,D957&lt;=2),339,IF(AND(L950="Vermögend und ambulant",D957&gt;0,D957&lt;=1),486,IF(AND(L950="Vermögend und stationär",D957&gt;8,D957&lt;=1000),127,IF(AND(L950="Vermögend und stationär",D957&gt;4,D957&lt;=8),149,IF(AND(L950="Vermögend und stationär",D957&gt;2,D957&lt;=4),229,IF(AND(L950="Vermögend und stationär",D957&gt;1,D957&lt;=2),257,IF(AND(L950="Vermögend und stationär",D957&gt;0,D957&lt;=1),327,IF(AND(L950="Mittellos und ambulant",D957&gt;8,D957&lt;=1000),171,IF(AND(L950="Mittellos und ambulant",D957&gt;4,D957&lt;=8),198,IF(AND(L950="Mittellos und ambulant",D957&gt;2,D957&lt;=4),246,IF(AND(L950="Mittellos und ambulant",D957&gt;1,D957&lt;=2),277,IF(AND(L950="Mittellos und ambulant",D957&gt;0,D957&lt;=1),339,IF(AND(L950="Mittellos und stationär",D957&gt;8,D957&lt;=1000),102,IF(AND(L950="Mittellos und stationär",D957&gt;4,D957&lt;=8),141,IF(AND(L950="Mittellos und stationär",D957&gt;2,D957&lt;=4),202,IF(AND(L950="Mittellos und stationär",D957&gt;1,D957&lt;=2),208,IF(AND(L950="Mittellos und stationär",D957&gt;0,D957&lt;=1),317,""))))))))))))))))))))),"")))*3+(J949*90)</f>
        <v>#NUM!</v>
      </c>
      <c r="M958" s="507" t="str">
        <f>CONCATENATE(K958, K957)</f>
        <v>+Inflat.-P</v>
      </c>
      <c r="N958" s="216"/>
      <c r="O958" s="188"/>
      <c r="P958" s="188"/>
      <c r="Q958" s="217" t="s">
        <v>118</v>
      </c>
      <c r="R958" s="189"/>
      <c r="S958" s="190"/>
      <c r="T958" s="190"/>
      <c r="U958" s="191"/>
      <c r="V958" s="192"/>
      <c r="W958" s="190"/>
      <c r="X958" s="190"/>
      <c r="Y958" s="191"/>
      <c r="Z958" s="192"/>
      <c r="AA958" s="190"/>
      <c r="AB958" s="190"/>
      <c r="AC958" s="191"/>
      <c r="AD958" s="192"/>
      <c r="AE958" s="190" t="s">
        <v>118</v>
      </c>
      <c r="AF958" s="190" t="s">
        <v>117</v>
      </c>
      <c r="AG958" s="191" t="s">
        <v>26</v>
      </c>
      <c r="AH958" s="193"/>
      <c r="AI958" s="190" t="s">
        <v>118</v>
      </c>
      <c r="AJ958" s="190" t="s">
        <v>117</v>
      </c>
      <c r="AK958" s="374" t="s">
        <v>26</v>
      </c>
      <c r="AL958" s="348" t="s">
        <v>151</v>
      </c>
      <c r="AM958" s="354"/>
      <c r="AN958" s="354"/>
      <c r="AO958" s="354"/>
      <c r="AP958" s="354">
        <f>IF(SUM(Q950:Q958)=SUM(AE950:AE958,AI950:AI958), 0, SUM(Q950:Q958)-SUM(AE950:AE958,AI950:AI958))</f>
        <v>0</v>
      </c>
      <c r="AQ958" s="350">
        <f>AM958+AN958+AO958+AP958</f>
        <v>0</v>
      </c>
      <c r="AR958" s="769"/>
      <c r="AS958" s="769"/>
      <c r="AT958" s="769"/>
      <c r="BM958" s="335"/>
    </row>
    <row r="959" spans="1:65" ht="22" customHeight="1">
      <c r="A959" s="181">
        <f t="shared" si="313"/>
        <v>45292</v>
      </c>
      <c r="B959" s="232" t="s">
        <v>74</v>
      </c>
      <c r="C959" s="233" t="s">
        <v>75</v>
      </c>
      <c r="D959" s="234" t="s">
        <v>76</v>
      </c>
      <c r="E959" s="235" t="s">
        <v>11</v>
      </c>
      <c r="F959" s="235" t="s">
        <v>4</v>
      </c>
      <c r="G959" s="235" t="s">
        <v>5</v>
      </c>
      <c r="H959" s="235" t="s">
        <v>6</v>
      </c>
      <c r="I959" s="236" t="s">
        <v>77</v>
      </c>
      <c r="J959" s="306"/>
      <c r="K959" s="501" t="str">
        <f t="shared" si="314"/>
        <v/>
      </c>
      <c r="L959" s="306" t="str">
        <f>IFERROR(VLOOKUP(B960,'Aktuelle Einnahmen'!A2:J104,10,0),"")</f>
        <v/>
      </c>
      <c r="M959" s="510" t="str">
        <f>M949</f>
        <v>Stufe C</v>
      </c>
      <c r="N959" s="237"/>
      <c r="O959" s="238"/>
      <c r="P959" s="238"/>
      <c r="Q959" s="239"/>
      <c r="R959" s="240"/>
      <c r="S959" s="241"/>
      <c r="T959" s="241"/>
      <c r="U959" s="242"/>
      <c r="V959" s="243"/>
      <c r="W959" s="241"/>
      <c r="X959" s="241"/>
      <c r="Y959" s="242"/>
      <c r="Z959" s="243"/>
      <c r="AA959" s="241"/>
      <c r="AB959" s="241"/>
      <c r="AC959" s="242"/>
      <c r="AD959" s="243"/>
      <c r="AE959" s="241"/>
      <c r="AF959" s="241"/>
      <c r="AG959" s="242"/>
      <c r="AH959" s="240"/>
      <c r="AI959" s="241"/>
      <c r="AJ959" s="241"/>
      <c r="AK959" s="377"/>
      <c r="AL959" s="347"/>
      <c r="AM959" s="353"/>
      <c r="AN959" s="353"/>
      <c r="AO959" s="353"/>
      <c r="AP959" s="353"/>
      <c r="AQ959" s="349"/>
      <c r="AR959" s="768"/>
      <c r="AS959" s="768"/>
      <c r="AT959" s="768"/>
      <c r="BM959" s="335"/>
    </row>
    <row r="960" spans="1:65" ht="23" customHeight="1">
      <c r="A960" s="181">
        <f t="shared" si="313"/>
        <v>45292</v>
      </c>
      <c r="B960" s="182">
        <v>96</v>
      </c>
      <c r="C960" s="245">
        <f>IFERROR(VLOOKUP($B960,'Aktuelle Einnahmen'!A2:G104,3,0),"")</f>
        <v>0</v>
      </c>
      <c r="D960" s="246">
        <f>IFERROR(VLOOKUP($B960,'Aktuelle Einnahmen'!A2:G104,2,0),"")</f>
        <v>0</v>
      </c>
      <c r="E960" s="247">
        <f>IFERROR(VLOOKUP($B960,'Aktuelle Einnahmen'!A2:G104,4,0),"")</f>
        <v>0</v>
      </c>
      <c r="F960" s="94">
        <f>IFERROR(VLOOKUP($B960,'Aktuelle Einnahmen'!A2:G104,5,0),"")</f>
        <v>0</v>
      </c>
      <c r="G960" s="94">
        <f>IFERROR(VLOOKUP($B960,'Aktuelle Einnahmen'!A2:G104,6,0),"")</f>
        <v>0</v>
      </c>
      <c r="H960" s="94">
        <f>IFERROR(VLOOKUP($B960,'Aktuelle Einnahmen'!A2:G104,7,0),"")</f>
        <v>0</v>
      </c>
      <c r="I960" s="186" t="e">
        <f>DATE(H960,G960,F960)</f>
        <v>#NUM!</v>
      </c>
      <c r="J960" s="472">
        <f ca="1">J950</f>
        <v>45475</v>
      </c>
      <c r="K960" s="506" t="str">
        <f t="shared" si="314"/>
        <v>+Inflat.-P</v>
      </c>
      <c r="L960" s="1262" t="str">
        <f>IFERROR(VLOOKUP(B960,'Aktuelle Einnahmen'!A22:I124,9,0),"")</f>
        <v>Auswahl treffen</v>
      </c>
      <c r="M960" s="1263"/>
      <c r="N960" s="261"/>
      <c r="O960" s="261"/>
      <c r="P960" s="261"/>
      <c r="Q960" s="261"/>
      <c r="R960" s="189"/>
      <c r="S960" s="190"/>
      <c r="T960" s="190"/>
      <c r="U960" s="191"/>
      <c r="V960" s="192"/>
      <c r="W960" s="190"/>
      <c r="X960" s="190"/>
      <c r="Y960" s="191"/>
      <c r="Z960" s="192"/>
      <c r="AA960" s="190"/>
      <c r="AB960" s="190"/>
      <c r="AC960" s="191"/>
      <c r="AD960" s="192"/>
      <c r="AE960" s="190"/>
      <c r="AF960" s="190"/>
      <c r="AG960" s="191"/>
      <c r="AH960" s="193"/>
      <c r="AI960" s="190"/>
      <c r="AJ960" s="190"/>
      <c r="AK960" s="374"/>
      <c r="AL960" s="348"/>
      <c r="AM960" s="354"/>
      <c r="AN960" s="354"/>
      <c r="AO960" s="354"/>
      <c r="AP960" s="354"/>
      <c r="AQ960" s="350"/>
      <c r="AR960" s="769"/>
      <c r="AS960" s="769"/>
      <c r="AT960" s="769"/>
      <c r="BM960" s="335"/>
    </row>
    <row r="961" spans="1:65" ht="22.25" customHeight="1">
      <c r="A961" s="181">
        <f t="shared" si="313"/>
        <v>45292</v>
      </c>
      <c r="B961" s="484" t="e">
        <f>DAY(I960)</f>
        <v>#NUM!</v>
      </c>
      <c r="C961" s="489" t="s">
        <v>158</v>
      </c>
      <c r="D961" s="520" t="e">
        <f>(I961*4)+J961/3+1</f>
        <v>#NUM!</v>
      </c>
      <c r="E961" s="194" t="e">
        <f>J963+1</f>
        <v>#NUM!</v>
      </c>
      <c r="F961" s="195" t="e">
        <f t="shared" ref="F961:F968" si="330">DAY(E961)</f>
        <v>#NUM!</v>
      </c>
      <c r="G961" s="196" t="e">
        <f t="shared" ref="G961:G968" si="331">MONTH(E961)</f>
        <v>#NUM!</v>
      </c>
      <c r="H961" s="195" t="e">
        <f t="shared" ref="H961:H968" si="332">YEAR(E961)</f>
        <v>#NUM!</v>
      </c>
      <c r="I961" s="197" t="e">
        <f>H961-(H960+2000)</f>
        <v>#NUM!</v>
      </c>
      <c r="J961" s="198" t="e">
        <f>G961-G960</f>
        <v>#NUM!</v>
      </c>
      <c r="K961" s="506" t="str">
        <f>L959</f>
        <v/>
      </c>
      <c r="L961" s="469"/>
      <c r="M961" s="473" t="e">
        <f ca="1">SUM(J960-E962)&amp;" Tage"</f>
        <v>#NUM!</v>
      </c>
      <c r="N961" s="206"/>
      <c r="O961" s="201"/>
      <c r="P961" s="201"/>
      <c r="Q961" s="202"/>
      <c r="R961" s="189"/>
      <c r="S961" s="203"/>
      <c r="T961" s="203"/>
      <c r="U961" s="204"/>
      <c r="V961" s="192"/>
      <c r="W961" s="203"/>
      <c r="X961" s="203"/>
      <c r="Y961" s="204"/>
      <c r="Z961" s="192"/>
      <c r="AA961" s="203"/>
      <c r="AB961" s="203"/>
      <c r="AC961" s="204"/>
      <c r="AD961" s="192"/>
      <c r="AE961" s="203"/>
      <c r="AF961" s="203"/>
      <c r="AG961" s="204"/>
      <c r="AH961" s="193"/>
      <c r="AI961" s="203"/>
      <c r="AJ961" s="203"/>
      <c r="AK961" s="375"/>
      <c r="AL961" s="348"/>
      <c r="AM961" s="354"/>
      <c r="AN961" s="354"/>
      <c r="AO961" s="354"/>
      <c r="AP961" s="354"/>
      <c r="AQ961" s="350"/>
      <c r="AR961" s="769"/>
      <c r="AS961" s="769"/>
      <c r="AT961" s="769"/>
      <c r="BM961" s="335"/>
    </row>
    <row r="962" spans="1:65" ht="22.25" customHeight="1">
      <c r="A962" s="181">
        <f t="shared" si="313"/>
        <v>45292</v>
      </c>
      <c r="B962" s="485"/>
      <c r="C962" s="490"/>
      <c r="D962" s="521"/>
      <c r="E962" s="194" t="e">
        <f>DATE(YEAR(E961),MONTH(E961)+3,DAY(E961)-1)</f>
        <v>#NUM!</v>
      </c>
      <c r="F962" s="195" t="e">
        <f t="shared" si="330"/>
        <v>#NUM!</v>
      </c>
      <c r="G962" s="196" t="e">
        <f t="shared" si="331"/>
        <v>#NUM!</v>
      </c>
      <c r="H962" s="195" t="e">
        <f t="shared" si="332"/>
        <v>#NUM!</v>
      </c>
      <c r="I962" s="244">
        <v>-1</v>
      </c>
      <c r="J962" s="198" t="e">
        <f>F961-F960</f>
        <v>#NUM!</v>
      </c>
      <c r="K962" s="506" t="str">
        <f t="shared" si="314"/>
        <v>+Inflat.-P</v>
      </c>
      <c r="L962" s="511" t="e">
        <f>IF(M959="Stufe A",IF(AND(L960="Auswahl treffen",D961&gt;=0,D961&lt;=1000),J959,IF(AND(L960="Vermögend und ambulant",D961&gt;8,D961&lt;=1000),130,IF(AND(L960="Vermögend und ambulant",D961&gt;4,D961&lt;=8),158,IF(AND(L960="Vermögend und ambulant",D961&gt;2,D961&lt;=4),192,IF(AND(L960="Vermögend und ambulant",D961&gt;1,D961&lt;=2),208,IF(AND(L960="Vermögend und ambulant",D961&gt;0,D961&lt;=1),298,IF(AND(L960="Vermögend und stationär",D961&gt;8,D961&lt;=1000),78,IF(AND(L960="Vermögend und stationär",D961&gt;4,D961&lt;=8),91,IF(AND(L960="Vermögend und stationär",D961&gt;2,D961&lt;=4),140,IF(AND(L960="Vermögend und stationär",D961&gt;1,D961&lt;=2),158,IF(AND(L960="Vermögend und stationär",D961&gt;0,D961&lt;=1),200,IF(AND(L960="Mittellos und ambulant",D961&gt;8,D961&lt;=1000),105,IF(AND(L960="Mittellos und ambulant",D961&gt;4,D961&lt;=8),122,IF(AND(L960="Mittellos und ambulant",D961&gt;2,D961&lt;=4),151,IF(AND(L960="Mittellos und ambulant",D961&gt;1,D961&lt;=2),170,IF(AND(L960="Mittellos und ambulant",D961&gt;0,D961&lt;=1),208,IF(AND(L960="Mittellos und stationär",D961&gt;8,D961&lt;=1000),62,IF(AND(L960="Mittellos und stationär",D961&gt;4,D961&lt;=8),87,IF(AND(L960="Mittellos und stationär",D961&gt;2,D961&lt;=4),124,IF(AND(L960="Mittellos und stationär",D961&gt;1,D961&lt;=2),129,IF(AND(L960="Mittellos und stationär",D961&gt;0,D961&lt;=1),194,""))))))))))))))))))))),IF(M959="Stufe B",IF(AND(L960="Auswahl treffen",D961&gt;=0,D961&lt;=1000),J959,IF(AND(L960="Vermögend und ambulant",D961&gt;8,D961&lt;=1000),161,IF(AND(L960="Vermögend und ambulant",D961&gt;4,D961&lt;=8),196,IF(AND(L960="Vermögend und ambulant",D961&gt;2,D961&lt;=4),238,IF(AND(L960="Vermögend und ambulant",D961&gt;1,D961&lt;=2),258,IF(AND(L960="Vermögend und ambulant",D961&gt;0,D961&lt;=1),370,IF(AND(L960="Vermögend und stationär",D961&gt;8,D961&lt;=1000),96,IF(AND(L960="Vermögend und stationär",D961&gt;4,D961&lt;=8),113,IF(AND(L960="Vermögend und stationär",D961&gt;2,D961&lt;=4),174,IF(AND(L960="Vermögend und stationär",D961&gt;1,D961&lt;=2),196,IF(AND(L960="Vermögend und stationär",D961&gt;0,D961&lt;=1),249,IF(AND(L960="Mittellos und ambulant",D961&gt;8,D961&lt;=1000),130,IF(AND(L960="Mittellos und ambulant",D961&gt;4,D961&lt;=8),151,IF(AND(L960="Mittellos und ambulant",D961&gt;2,D961&lt;=4),188,IF(AND(L960="Mittellos und ambulant",D961&gt;1,D961&lt;=2),211,IF(AND(L960="Mittellos und ambulant",D961&gt;0,D961&lt;=1),258,IF(AND(L960="Mittellos und stationär",D961&gt;8,D961&lt;=1000),78,IF(AND(L960="Mittellos und stationär",D961&gt;4,D961&lt;=8),107,IF(AND(L960="Mittellos und stationär",D961&gt;2,D961&lt;=4),154,IF(AND(L960="Mittellos und stationär",D961&gt;1,D961&lt;=2),158,IF(AND(L960="Mittellos und stationär",D961&gt;0,D961&lt;=1),241,""))))))))))))))))))))),IF(M959="Stufe C",IF(AND(L960="Auswahl treffen",D961&gt;=0,D961&lt;=1000),J959,IF(AND(L960="Vermögend und ambulant",D961&gt;8,D961&lt;=1000),211,IF(AND(L960="Vermögend und ambulant",D961&gt;4,D961&lt;=8),257,IF(AND(L960="Vermögend und ambulant",D961&gt;2,D961&lt;=4),312,IF(AND(L960="Vermögend und ambulant",D961&gt;1,D961&lt;=2),339,IF(AND(L960="Vermögend und ambulant",D961&gt;0,D961&lt;=1),486,IF(AND(L960="Vermögend und stationär",D961&gt;8,D961&lt;=1000),127,IF(AND(L960="Vermögend und stationär",D961&gt;4,D961&lt;=8),149,IF(AND(L960="Vermögend und stationär",D961&gt;2,D961&lt;=4),229,IF(AND(L960="Vermögend und stationär",D961&gt;1,D961&lt;=2),257,IF(AND(L960="Vermögend und stationär",D961&gt;0,D961&lt;=1),327,IF(AND(L960="Mittellos und ambulant",D961&gt;8,D961&lt;=1000),171,IF(AND(L960="Mittellos und ambulant",D961&gt;4,D961&lt;=8),198,IF(AND(L960="Mittellos und ambulant",D961&gt;2,D961&lt;=4),246,IF(AND(L960="Mittellos und ambulant",D961&gt;1,D961&lt;=2),277,IF(AND(L960="Mittellos und ambulant",D961&gt;0,D961&lt;=1),339,IF(AND(L960="Mittellos und stationär",D961&gt;8,D961&lt;=1000),102,IF(AND(L960="Mittellos und stationär",D961&gt;4,D961&lt;=8),141,IF(AND(L960="Mittellos und stationär",D961&gt;2,D961&lt;=4),202,IF(AND(L960="Mittellos und stationär",D961&gt;1,D961&lt;=2),208,IF(AND(L960="Mittellos und stationär",D961&gt;0,D961&lt;=1),317,""))))))))))))))))))))),"")))*3+(J959*90)</f>
        <v>#NUM!</v>
      </c>
      <c r="M962" s="507" t="str">
        <f>CONCATENATE(K962, K961)</f>
        <v>+Inflat.-P</v>
      </c>
      <c r="N962" s="206" t="s">
        <v>118</v>
      </c>
      <c r="O962" s="207"/>
      <c r="P962" s="207"/>
      <c r="Q962" s="208"/>
      <c r="R962" s="187"/>
      <c r="S962" s="209" t="s">
        <v>118</v>
      </c>
      <c r="T962" s="201" t="s">
        <v>117</v>
      </c>
      <c r="U962" s="210" t="s">
        <v>26</v>
      </c>
      <c r="V962" s="192"/>
      <c r="W962" s="203"/>
      <c r="X962" s="203"/>
      <c r="Y962" s="210"/>
      <c r="Z962" s="192"/>
      <c r="AA962" s="203"/>
      <c r="AB962" s="203"/>
      <c r="AC962" s="210"/>
      <c r="AD962" s="192"/>
      <c r="AE962" s="203"/>
      <c r="AF962" s="203"/>
      <c r="AG962" s="210"/>
      <c r="AH962" s="193"/>
      <c r="AI962" s="203"/>
      <c r="AJ962" s="203"/>
      <c r="AK962" s="376"/>
      <c r="AL962" s="348" t="s">
        <v>148</v>
      </c>
      <c r="AM962" s="354">
        <f>IF(SUM(N960:N968)=SUM(S960:S968), 0, SUM(N960:N968)-SUM(S960:S968))</f>
        <v>0</v>
      </c>
      <c r="AN962" s="354"/>
      <c r="AO962" s="354"/>
      <c r="AP962" s="354"/>
      <c r="AQ962" s="350">
        <f>AM962+AN962+AO962+AP962</f>
        <v>0</v>
      </c>
      <c r="AR962" s="769"/>
      <c r="AS962" s="769"/>
      <c r="AT962" s="769"/>
      <c r="BM962" s="335"/>
    </row>
    <row r="963" spans="1:65" ht="22.25" customHeight="1">
      <c r="A963" s="181">
        <f t="shared" si="313"/>
        <v>45292</v>
      </c>
      <c r="B963" s="484" t="e">
        <f>MONTH(I960)</f>
        <v>#NUM!</v>
      </c>
      <c r="C963" s="489" t="s">
        <v>158</v>
      </c>
      <c r="D963" s="522" t="e">
        <f>D961+1</f>
        <v>#NUM!</v>
      </c>
      <c r="E963" s="211" t="e">
        <f>DATE(YEAR(E962),MONTH(E962),DAY(E962)+1)</f>
        <v>#NUM!</v>
      </c>
      <c r="F963" s="212" t="e">
        <f t="shared" si="330"/>
        <v>#NUM!</v>
      </c>
      <c r="G963" s="213" t="e">
        <f t="shared" si="331"/>
        <v>#NUM!</v>
      </c>
      <c r="H963" s="212" t="e">
        <f t="shared" si="332"/>
        <v>#NUM!</v>
      </c>
      <c r="I963" s="214" t="str">
        <f>IF(D960&lt;&gt;0,"-1T","")</f>
        <v/>
      </c>
      <c r="J963" s="215" t="e">
        <f>DATE($B965,I964,$B961)</f>
        <v>#NUM!</v>
      </c>
      <c r="K963" s="501" t="str">
        <f t="shared" si="314"/>
        <v/>
      </c>
      <c r="L963" s="470"/>
      <c r="M963" s="473" t="e">
        <f ca="1">SUM(J960-E964)&amp;" Tage"</f>
        <v>#NUM!</v>
      </c>
      <c r="N963" s="216"/>
      <c r="O963" s="217"/>
      <c r="P963" s="188"/>
      <c r="Q963" s="217"/>
      <c r="R963" s="189"/>
      <c r="S963" s="190"/>
      <c r="T963" s="190"/>
      <c r="U963" s="191"/>
      <c r="V963" s="192"/>
      <c r="W963" s="190"/>
      <c r="X963" s="190"/>
      <c r="Y963" s="191"/>
      <c r="Z963" s="192"/>
      <c r="AA963" s="190"/>
      <c r="AB963" s="190"/>
      <c r="AC963" s="191"/>
      <c r="AD963" s="192"/>
      <c r="AE963" s="190"/>
      <c r="AF963" s="190"/>
      <c r="AG963" s="191"/>
      <c r="AH963" s="193"/>
      <c r="AI963" s="190"/>
      <c r="AJ963" s="190"/>
      <c r="AK963" s="374"/>
      <c r="AL963" s="348"/>
      <c r="AM963" s="354"/>
      <c r="AN963" s="354"/>
      <c r="AO963" s="354"/>
      <c r="AP963" s="354"/>
      <c r="AQ963" s="350"/>
      <c r="AR963" s="769"/>
      <c r="AS963" s="769"/>
      <c r="AT963" s="769"/>
      <c r="BM963" s="335"/>
    </row>
    <row r="964" spans="1:65" ht="22.25" customHeight="1">
      <c r="A964" s="181">
        <f t="shared" si="313"/>
        <v>45292</v>
      </c>
      <c r="B964" s="485"/>
      <c r="C964" s="490"/>
      <c r="D964" s="521"/>
      <c r="E964" s="218" t="e">
        <f>DATE(YEAR(E963),MONTH(E963)+3,DAY(E963)-1)</f>
        <v>#NUM!</v>
      </c>
      <c r="F964" s="212" t="e">
        <f t="shared" si="330"/>
        <v>#NUM!</v>
      </c>
      <c r="G964" s="213" t="e">
        <f t="shared" si="331"/>
        <v>#NUM!</v>
      </c>
      <c r="H964" s="212" t="e">
        <f t="shared" si="332"/>
        <v>#NUM!</v>
      </c>
      <c r="I964" s="219">
        <f>MAX(I965:I968)</f>
        <v>9</v>
      </c>
      <c r="J964" s="220" t="e">
        <f>DATE(YEAR(J963)+1,MONTH(J963),DAY(J963))</f>
        <v>#NUM!</v>
      </c>
      <c r="K964" s="501" t="str">
        <f t="shared" si="314"/>
        <v>+Inflat.-P</v>
      </c>
      <c r="L964" s="508" t="e">
        <f>IF(M959="Stufe A",IF(AND(L960="Auswahl treffen",D963&gt;=0,D963&lt;=1000),J959,IF(AND(L960="Vermögend und ambulant",D963&gt;8,D963&lt;=1000),130,IF(AND(L960="Vermögend und ambulant",D963&gt;4,D963&lt;=8),158,IF(AND(L960="Vermögend und ambulant",D963&gt;2,D963&lt;=4),192,IF(AND(L960="Vermögend und ambulant",D963&gt;1,D963&lt;=2),208,IF(AND(L960="Vermögend und ambulant",D963&gt;0,D963&lt;=1),298,IF(AND(L960="Vermögend und stationär",D963&gt;8,D963&lt;=1000),78,IF(AND(L960="Vermögend und stationär",D963&gt;4,D963&lt;=8),91,IF(AND(L960="Vermögend und stationär",D963&gt;2,D963&lt;=4),140,IF(AND(L960="Vermögend und stationär",D963&gt;1,D963&lt;=2),158,IF(AND(L960="Vermögend und stationär",D963&gt;0,D963&lt;=1),200,IF(AND(L960="Mittellos und ambulant",D963&gt;8,D963&lt;=1000),105,IF(AND(L960="Mittellos und ambulant",D963&gt;4,D963&lt;=8),122,IF(AND(L960="Mittellos und ambulant",D963&gt;2,D963&lt;=4),151,IF(AND(L960="Mittellos und ambulant",D963&gt;1,D963&lt;=2),170,IF(AND(L960="Mittellos und ambulant",D963&gt;0,D963&lt;=1),208,IF(AND(L960="Mittellos und stationär",D963&gt;8,D963&lt;=1000),62,IF(AND(L960="Mittellos und stationär",D963&gt;4,D963&lt;=8),87,IF(AND(L960="Mittellos und stationär",D963&gt;2,D963&lt;=4),124,IF(AND(L960="Mittellos und stationär",D963&gt;1,D963&lt;=2),129,IF(AND(L960="Mittellos und stationär",D963&gt;0,D963&lt;=1),194,""))))))))))))))))))))),IF(M959="Stufe B",IF(AND(L960="Auswahl treffen",D963&gt;=0,D963&lt;=1000),J959,IF(AND(L960="Vermögend und ambulant",D963&gt;8,D963&lt;=1000),161,IF(AND(L960="Vermögend und ambulant",D963&gt;4,D963&lt;=8),196,IF(AND(L960="Vermögend und ambulant",D963&gt;2,D963&lt;=4),238,IF(AND(L960="Vermögend und ambulant",D963&gt;1,D963&lt;=2),258,IF(AND(L960="Vermögend und ambulant",D963&gt;0,D963&lt;=1),370,IF(AND(L960="Vermögend und stationär",D963&gt;8,D963&lt;=1000),96,IF(AND(L960="Vermögend und stationär",D963&gt;4,D963&lt;=8),113,IF(AND(L960="Vermögend und stationär",D963&gt;2,D963&lt;=4),174,IF(AND(L960="Vermögend und stationär",D963&gt;1,D963&lt;=2),196,IF(AND(L960="Vermögend und stationär",D963&gt;0,D963&lt;=1),249,IF(AND(L960="Mittellos und ambulant",D963&gt;8,D963&lt;=1000),130,IF(AND(L960="Mittellos und ambulant",D963&gt;4,D963&lt;=8),151,IF(AND(L960="Mittellos und ambulant",D963&gt;2,D963&lt;=4),188,IF(AND(L960="Mittellos und ambulant",D963&gt;1,D963&lt;=2),211,IF(AND(L960="Mittellos und ambulant",D963&gt;0,D963&lt;=1),258,IF(AND(L960="Mittellos und stationär",D963&gt;8,D963&lt;=1000),78,IF(AND(L960="Mittellos und stationär",D963&gt;4,D963&lt;=8),107,IF(AND(L960="Mittellos und stationär",D963&gt;2,D963&lt;=4),154,IF(AND(L960="Mittellos und stationär",D963&gt;1,D963&lt;=2),158,IF(AND(L960="Mittellos und stationär",D963&gt;0,D963&lt;=1),241,""))))))))))))))))))))),IF(M959="Stufe C",IF(AND(L960="Auswahl treffen",D963&gt;=0,D963&lt;=1000),J959,IF(AND(L960="Vermögend und ambulant",D963&gt;8,D963&lt;=1000),211,IF(AND(L960="Vermögend und ambulant",D963&gt;4,D963&lt;=8),257,IF(AND(L960="Vermögend und ambulant",D963&gt;2,D963&lt;=4),312,IF(AND(L960="Vermögend und ambulant",D963&gt;1,D963&lt;=2),339,IF(AND(L960="Vermögend und ambulant",D963&gt;0,D963&lt;=1),486,IF(AND(L960="Vermögend und stationär",D963&gt;8,D963&lt;=1000),127,IF(AND(L960="Vermögend und stationär",D963&gt;4,D963&lt;=8),149,IF(AND(L960="Vermögend und stationär",D963&gt;2,D963&lt;=4),229,IF(AND(L960="Vermögend und stationär",D963&gt;1,D963&lt;=2),257,IF(AND(L960="Vermögend und stationär",D963&gt;0,D963&lt;=1),327,IF(AND(L960="Mittellos und ambulant",D963&gt;8,D963&lt;=1000),171,IF(AND(L960="Mittellos und ambulant",D963&gt;4,D963&lt;=8),198,IF(AND(L960="Mittellos und ambulant",D963&gt;2,D963&lt;=4),246,IF(AND(L960="Mittellos und ambulant",D963&gt;1,D963&lt;=2),277,IF(AND(L960="Mittellos und ambulant",D963&gt;0,D963&lt;=1),339,IF(AND(L960="Mittellos und stationär",D963&gt;8,D963&lt;=1000),102,IF(AND(L960="Mittellos und stationär",D963&gt;4,D963&lt;=8),141,IF(AND(L960="Mittellos und stationär",D963&gt;2,D963&lt;=4),202,IF(AND(L960="Mittellos und stationär",D963&gt;1,D963&lt;=2),208,IF(AND(L960="Mittellos und stationär",D963&gt;0,D963&lt;=1),317,""))))))))))))))))))))),"")))*3+(J959*90)</f>
        <v>#NUM!</v>
      </c>
      <c r="M964" s="507" t="str">
        <f>CONCATENATE(K964, K963)</f>
        <v>+Inflat.-P</v>
      </c>
      <c r="N964" s="216"/>
      <c r="O964" s="188" t="s">
        <v>118</v>
      </c>
      <c r="P964" s="188"/>
      <c r="Q964" s="221"/>
      <c r="R964" s="199"/>
      <c r="S964" s="190"/>
      <c r="T964" s="190"/>
      <c r="U964" s="191"/>
      <c r="V964" s="192"/>
      <c r="W964" s="222" t="s">
        <v>118</v>
      </c>
      <c r="X964" s="222" t="s">
        <v>117</v>
      </c>
      <c r="Y964" s="191" t="s">
        <v>26</v>
      </c>
      <c r="Z964" s="192"/>
      <c r="AA964" s="190"/>
      <c r="AB964" s="190"/>
      <c r="AC964" s="191"/>
      <c r="AD964" s="192"/>
      <c r="AE964" s="190"/>
      <c r="AF964" s="190"/>
      <c r="AG964" s="191"/>
      <c r="AH964" s="193"/>
      <c r="AI964" s="190"/>
      <c r="AJ964" s="190"/>
      <c r="AK964" s="374"/>
      <c r="AL964" s="348" t="s">
        <v>149</v>
      </c>
      <c r="AM964" s="354"/>
      <c r="AN964" s="354">
        <f>IF(SUM(O960:O968)=SUM(W960:W968), 0, SUM(O960:O968)-SUM(W960:W968))</f>
        <v>0</v>
      </c>
      <c r="AO964" s="354"/>
      <c r="AP964" s="354"/>
      <c r="AQ964" s="350">
        <f>AM964+AN964+AO964+AP964</f>
        <v>0</v>
      </c>
      <c r="AR964" s="769"/>
      <c r="AS964" s="769"/>
      <c r="AT964" s="769"/>
      <c r="BM964" s="335"/>
    </row>
    <row r="965" spans="1:65" ht="22.25" customHeight="1">
      <c r="A965" s="181">
        <f t="shared" si="313"/>
        <v>45292</v>
      </c>
      <c r="B965" s="484">
        <f>YEAR($A966)-1</f>
        <v>2023</v>
      </c>
      <c r="C965" s="489" t="s">
        <v>158</v>
      </c>
      <c r="D965" s="520" t="e">
        <f>D963+1</f>
        <v>#NUM!</v>
      </c>
      <c r="E965" s="194" t="e">
        <f>DATE(YEAR(E964),MONTH(E964),DAY(E964)+1)</f>
        <v>#NUM!</v>
      </c>
      <c r="F965" s="195" t="e">
        <f t="shared" si="330"/>
        <v>#NUM!</v>
      </c>
      <c r="G965" s="196" t="e">
        <f t="shared" si="331"/>
        <v>#NUM!</v>
      </c>
      <c r="H965" s="195" t="e">
        <f t="shared" si="332"/>
        <v>#NUM!</v>
      </c>
      <c r="I965" s="197">
        <f>IF(J967&lt;13,J967,"")</f>
        <v>9</v>
      </c>
      <c r="J965" s="224">
        <f>G960</f>
        <v>0</v>
      </c>
      <c r="K965" s="506" t="str">
        <f t="shared" si="314"/>
        <v/>
      </c>
      <c r="L965" s="471"/>
      <c r="M965" s="473" t="e">
        <f ca="1">SUM(J960-E966)&amp;" Tage"</f>
        <v>#NUM!</v>
      </c>
      <c r="N965" s="200"/>
      <c r="O965" s="201"/>
      <c r="P965" s="201"/>
      <c r="Q965" s="202"/>
      <c r="R965" s="189"/>
      <c r="S965" s="203"/>
      <c r="T965" s="203"/>
      <c r="U965" s="204"/>
      <c r="V965" s="192"/>
      <c r="W965" s="203"/>
      <c r="X965" s="203"/>
      <c r="Y965" s="204"/>
      <c r="Z965" s="192"/>
      <c r="AA965" s="203"/>
      <c r="AB965" s="203"/>
      <c r="AC965" s="204"/>
      <c r="AD965" s="192"/>
      <c r="AE965" s="203"/>
      <c r="AF965" s="203"/>
      <c r="AG965" s="204"/>
      <c r="AH965" s="193"/>
      <c r="AI965" s="203"/>
      <c r="AJ965" s="203"/>
      <c r="AK965" s="375"/>
      <c r="AL965" s="348"/>
      <c r="AM965" s="354"/>
      <c r="AN965" s="354"/>
      <c r="AO965" s="354"/>
      <c r="AP965" s="354"/>
      <c r="AQ965" s="350"/>
      <c r="AR965" s="769"/>
      <c r="AS965" s="769"/>
      <c r="AT965" s="769"/>
      <c r="BM965" s="335"/>
    </row>
    <row r="966" spans="1:65" ht="22.25" customHeight="1">
      <c r="A966" s="181">
        <f t="shared" si="313"/>
        <v>45292</v>
      </c>
      <c r="B966" s="485"/>
      <c r="C966" s="490"/>
      <c r="D966" s="521"/>
      <c r="E966" s="194" t="e">
        <f>DATE(YEAR(E965),MONTH(E965)+3,DAY(E965)-1)</f>
        <v>#NUM!</v>
      </c>
      <c r="F966" s="195" t="e">
        <f t="shared" si="330"/>
        <v>#NUM!</v>
      </c>
      <c r="G966" s="196" t="e">
        <f t="shared" si="331"/>
        <v>#NUM!</v>
      </c>
      <c r="H966" s="195" t="e">
        <f t="shared" si="332"/>
        <v>#NUM!</v>
      </c>
      <c r="I966" s="244">
        <f>IF(J968&lt;13,J968,"")</f>
        <v>6</v>
      </c>
      <c r="J966" s="224">
        <f>J965+3</f>
        <v>3</v>
      </c>
      <c r="K966" s="501" t="str">
        <f t="shared" si="314"/>
        <v>+Inflat.-P</v>
      </c>
      <c r="L966" s="511" t="e">
        <f>IF(M959="Stufe A",IF(AND(L960="Auswahl treffen",D965&gt;=0,D965&lt;=1000),J959,IF(AND(L960="Vermögend und ambulant",D965&gt;8,D965&lt;=1000),130,IF(AND(L960="Vermögend und ambulant",D965&gt;4,D965&lt;=8),158,IF(AND(L960="Vermögend und ambulant",D965&gt;2,D965&lt;=4),192,IF(AND(L960="Vermögend und ambulant",D965&gt;1,D965&lt;=2),208,IF(AND(L960="Vermögend und ambulant",D965&gt;0,D965&lt;=1),298,IF(AND(L960="Vermögend und stationär",D965&gt;8,D965&lt;=1000),78,IF(AND(L960="Vermögend und stationär",D965&gt;4,D965&lt;=8),91,IF(AND(L960="Vermögend und stationär",D965&gt;2,D965&lt;=4),140,IF(AND(L960="Vermögend und stationär",D965&gt;1,D965&lt;=2),158,IF(AND(L960="Vermögend und stationär",D965&gt;0,D965&lt;=1),200,IF(AND(L960="Mittellos und ambulant",D965&gt;8,D965&lt;=1000),105,IF(AND(L960="Mittellos und ambulant",D965&gt;4,D965&lt;=8),122,IF(AND(L960="Mittellos und ambulant",D965&gt;2,D965&lt;=4),151,IF(AND(L960="Mittellos und ambulant",D965&gt;1,D965&lt;=2),170,IF(AND(L960="Mittellos und ambulant",D965&gt;0,D965&lt;=1),208,IF(AND(L960="Mittellos und stationär",D965&gt;8,D965&lt;=1000),62,IF(AND(L960="Mittellos und stationär",D965&gt;4,D965&lt;=8),87,IF(AND(L960="Mittellos und stationär",D965&gt;2,D965&lt;=4),124,IF(AND(L960="Mittellos und stationär",D965&gt;1,D965&lt;=2),129,IF(AND(L960="Mittellos und stationär",D965&gt;0,D965&lt;=1),194,""))))))))))))))))))))),IF(M959="Stufe B",IF(AND(L960="Auswahl treffen",D965&gt;=0,D965&lt;=1000),J959,IF(AND(L960="Vermögend und ambulant",D965&gt;8,D965&lt;=1000),161,IF(AND(L960="Vermögend und ambulant",D965&gt;4,D965&lt;=8),196,IF(AND(L960="Vermögend und ambulant",D965&gt;2,D965&lt;=4),238,IF(AND(L960="Vermögend und ambulant",D965&gt;1,D965&lt;=2),258,IF(AND(L960="Vermögend und ambulant",D965&gt;0,D965&lt;=1),370,IF(AND(L960="Vermögend und stationär",D965&gt;8,D965&lt;=1000),96,IF(AND(L960="Vermögend und stationär",D965&gt;4,D965&lt;=8),113,IF(AND(L960="Vermögend und stationär",D965&gt;2,D965&lt;=4),174,IF(AND(L960="Vermögend und stationär",D965&gt;1,D965&lt;=2),196,IF(AND(L960="Vermögend und stationär",D965&gt;0,D965&lt;=1),249,IF(AND(L960="Mittellos und ambulant",D965&gt;8,D965&lt;=1000),130,IF(AND(L960="Mittellos und ambulant",D965&gt;4,D965&lt;=8),151,IF(AND(L960="Mittellos und ambulant",D965&gt;2,D965&lt;=4),188,IF(AND(L960="Mittellos und ambulant",D965&gt;1,D965&lt;=2),211,IF(AND(L960="Mittellos und ambulant",D965&gt;0,D965&lt;=1),258,IF(AND(L960="Mittellos und stationär",D965&gt;8,D965&lt;=1000),78,IF(AND(L960="Mittellos und stationär",D965&gt;4,D965&lt;=8),107,IF(AND(L960="Mittellos und stationär",D965&gt;2,D965&lt;=4),154,IF(AND(L960="Mittellos und stationär",D965&gt;1,D965&lt;=2),158,IF(AND(L960="Mittellos und stationär",D965&gt;0,D965&lt;=1),241,""))))))))))))))))))))),IF(M959="Stufe C",IF(AND(L960="Auswahl treffen",D965&gt;=0,D965&lt;=1000),J959,IF(AND(L960="Vermögend und ambulant",D965&gt;8,D965&lt;=1000),211,IF(AND(L960="Vermögend und ambulant",D965&gt;4,D965&lt;=8),257,IF(AND(L960="Vermögend und ambulant",D965&gt;2,D965&lt;=4),312,IF(AND(L960="Vermögend und ambulant",D965&gt;1,D965&lt;=2),339,IF(AND(L960="Vermögend und ambulant",D965&gt;0,D965&lt;=1),486,IF(AND(L960="Vermögend und stationär",D965&gt;8,D965&lt;=1000),127,IF(AND(L960="Vermögend und stationär",D965&gt;4,D965&lt;=8),149,IF(AND(L960="Vermögend und stationär",D965&gt;2,D965&lt;=4),229,IF(AND(L960="Vermögend und stationär",D965&gt;1,D965&lt;=2),257,IF(AND(L960="Vermögend und stationär",D965&gt;0,D965&lt;=1),327,IF(AND(L960="Mittellos und ambulant",D965&gt;8,D965&lt;=1000),171,IF(AND(L960="Mittellos und ambulant",D965&gt;4,D965&lt;=8),198,IF(AND(L960="Mittellos und ambulant",D965&gt;2,D965&lt;=4),246,IF(AND(L960="Mittellos und ambulant",D965&gt;1,D965&lt;=2),277,IF(AND(L960="Mittellos und ambulant",D965&gt;0,D965&lt;=1),339,IF(AND(L960="Mittellos und stationär",D965&gt;8,D965&lt;=1000),102,IF(AND(L960="Mittellos und stationär",D965&gt;4,D965&lt;=8),141,IF(AND(L960="Mittellos und stationär",D965&gt;2,D965&lt;=4),202,IF(AND(L960="Mittellos und stationär",D965&gt;1,D965&lt;=2),208,IF(AND(L960="Mittellos und stationär",D965&gt;0,D965&lt;=1),317,""))))))))))))))))))))),"")))*3+(J959*90)</f>
        <v>#NUM!</v>
      </c>
      <c r="M966" s="507" t="str">
        <f>CONCATENATE(K966, K965)</f>
        <v>+Inflat.-P</v>
      </c>
      <c r="N966" s="206"/>
      <c r="O966" s="207"/>
      <c r="P966" s="206" t="s">
        <v>118</v>
      </c>
      <c r="Q966" s="226"/>
      <c r="R966" s="189"/>
      <c r="S966" s="203"/>
      <c r="T966" s="203"/>
      <c r="U966" s="204"/>
      <c r="V966" s="192"/>
      <c r="W966" s="203"/>
      <c r="X966" s="203"/>
      <c r="Y966" s="204"/>
      <c r="Z966" s="192"/>
      <c r="AA966" s="209" t="s">
        <v>118</v>
      </c>
      <c r="AB966" s="209" t="s">
        <v>117</v>
      </c>
      <c r="AC966" s="204" t="s">
        <v>26</v>
      </c>
      <c r="AD966" s="192"/>
      <c r="AE966" s="203"/>
      <c r="AF966" s="203"/>
      <c r="AG966" s="204"/>
      <c r="AH966" s="193"/>
      <c r="AI966" s="203"/>
      <c r="AJ966" s="203"/>
      <c r="AK966" s="375"/>
      <c r="AL966" s="348" t="s">
        <v>150</v>
      </c>
      <c r="AM966" s="354"/>
      <c r="AN966" s="354"/>
      <c r="AO966" s="354">
        <f>IF(SUM(P960:P968)=SUM(AA960:AA968), 0, SUM(P960:P968)-SUM(AA960:AA968))</f>
        <v>0</v>
      </c>
      <c r="AP966" s="354"/>
      <c r="AQ966" s="350">
        <f>AM966+AN966+AO966+AP966</f>
        <v>0</v>
      </c>
      <c r="AR966" s="769"/>
      <c r="AS966" s="769"/>
      <c r="AT966" s="769"/>
      <c r="BM966" s="335"/>
    </row>
    <row r="967" spans="1:65" ht="22.25" customHeight="1">
      <c r="A967" s="181">
        <f t="shared" si="313"/>
        <v>45292</v>
      </c>
      <c r="B967" s="486"/>
      <c r="C967" s="489" t="s">
        <v>158</v>
      </c>
      <c r="D967" s="522" t="e">
        <f>D965+1</f>
        <v>#NUM!</v>
      </c>
      <c r="E967" s="211" t="e">
        <f>DATE(YEAR(E966),MONTH(E966),DAY(E966)+1)</f>
        <v>#NUM!</v>
      </c>
      <c r="F967" s="227" t="e">
        <f t="shared" si="330"/>
        <v>#NUM!</v>
      </c>
      <c r="G967" s="228" t="e">
        <f t="shared" si="331"/>
        <v>#NUM!</v>
      </c>
      <c r="H967" s="227" t="e">
        <f t="shared" si="332"/>
        <v>#NUM!</v>
      </c>
      <c r="I967" s="231">
        <f>IF(J966&lt;13,J966,"")</f>
        <v>3</v>
      </c>
      <c r="J967" s="230">
        <f>J968+3</f>
        <v>9</v>
      </c>
      <c r="K967" s="506" t="str">
        <f t="shared" si="314"/>
        <v/>
      </c>
      <c r="L967" s="471"/>
      <c r="M967" s="473" t="e">
        <f ca="1">SUM(J960-E968)&amp;" Tage"</f>
        <v>#NUM!</v>
      </c>
      <c r="N967" s="216"/>
      <c r="O967" s="188"/>
      <c r="P967" s="188"/>
      <c r="Q967" s="217"/>
      <c r="R967" s="189"/>
      <c r="S967" s="190"/>
      <c r="T967" s="190"/>
      <c r="U967" s="191"/>
      <c r="V967" s="192"/>
      <c r="W967" s="190"/>
      <c r="X967" s="190"/>
      <c r="Y967" s="191"/>
      <c r="Z967" s="192"/>
      <c r="AA967" s="190"/>
      <c r="AB967" s="190"/>
      <c r="AC967" s="191"/>
      <c r="AD967" s="192"/>
      <c r="AE967" s="190"/>
      <c r="AF967" s="190"/>
      <c r="AG967" s="191"/>
      <c r="AH967" s="193"/>
      <c r="AI967" s="190"/>
      <c r="AJ967" s="190"/>
      <c r="AK967" s="374"/>
      <c r="AL967" s="348"/>
      <c r="AM967" s="354"/>
      <c r="AN967" s="354"/>
      <c r="AO967" s="354"/>
      <c r="AP967" s="354"/>
      <c r="AQ967" s="350"/>
      <c r="AR967" s="769"/>
      <c r="AS967" s="769"/>
      <c r="AT967" s="769"/>
      <c r="BM967" s="335"/>
    </row>
    <row r="968" spans="1:65" ht="22.25" customHeight="1">
      <c r="A968" s="181">
        <f t="shared" si="313"/>
        <v>45292</v>
      </c>
      <c r="B968" s="485"/>
      <c r="C968" s="490"/>
      <c r="D968" s="521"/>
      <c r="E968" s="218" t="e">
        <f>DATE(YEAR(E967),MONTH(E967)+3,DAY(E967)-1)</f>
        <v>#NUM!</v>
      </c>
      <c r="F968" s="227" t="e">
        <f t="shared" si="330"/>
        <v>#NUM!</v>
      </c>
      <c r="G968" s="228" t="e">
        <f t="shared" si="331"/>
        <v>#NUM!</v>
      </c>
      <c r="H968" s="227" t="e">
        <f t="shared" si="332"/>
        <v>#NUM!</v>
      </c>
      <c r="I968" s="231">
        <f>IF(J965&lt;13,J965,"")</f>
        <v>0</v>
      </c>
      <c r="J968" s="230">
        <f>J966+3</f>
        <v>6</v>
      </c>
      <c r="K968" s="501" t="str">
        <f t="shared" si="314"/>
        <v>+Inflat.-P</v>
      </c>
      <c r="L968" s="508" t="e">
        <f>IF(M959="Stufe A",IF(AND(L960="Auswahl treffen",D967&gt;=0,D967&lt;=1000),J959,IF(AND(L960="Vermögend und ambulant",D967&gt;8,D967&lt;=1000),130,IF(AND(L960="Vermögend und ambulant",D967&gt;4,D967&lt;=8),158,IF(AND(L960="Vermögend und ambulant",D967&gt;2,D967&lt;=4),192,IF(AND(L960="Vermögend und ambulant",D967&gt;1,D967&lt;=2),208,IF(AND(L960="Vermögend und ambulant",D967&gt;0,D967&lt;=1),298,IF(AND(L960="Vermögend und stationär",D967&gt;8,D967&lt;=1000),78,IF(AND(L960="Vermögend und stationär",D967&gt;4,D967&lt;=8),91,IF(AND(L960="Vermögend und stationär",D967&gt;2,D967&lt;=4),140,IF(AND(L960="Vermögend und stationär",D967&gt;1,D967&lt;=2),158,IF(AND(L960="Vermögend und stationär",D967&gt;0,D967&lt;=1),200,IF(AND(L960="Mittellos und ambulant",D967&gt;8,D967&lt;=1000),105,IF(AND(L960="Mittellos und ambulant",D967&gt;4,D967&lt;=8),122,IF(AND(L960="Mittellos und ambulant",D967&gt;2,D967&lt;=4),151,IF(AND(L960="Mittellos und ambulant",D967&gt;1,D967&lt;=2),170,IF(AND(L960="Mittellos und ambulant",D967&gt;0,D967&lt;=1),208,IF(AND(L960="Mittellos und stationär",D967&gt;8,D967&lt;=1000),62,IF(AND(L960="Mittellos und stationär",D967&gt;4,D967&lt;=8),87,IF(AND(L960="Mittellos und stationär",D967&gt;2,D967&lt;=4),124,IF(AND(L960="Mittellos und stationär",D967&gt;1,D967&lt;=2),129,IF(AND(L960="Mittellos und stationär",D967&gt;0,D967&lt;=1),194,""))))))))))))))))))))),IF(M959="Stufe B",IF(AND(L960="Auswahl treffen",D967&gt;=0,D967&lt;=1000),J959,IF(AND(L960="Vermögend und ambulant",D967&gt;8,D967&lt;=1000),161,IF(AND(L960="Vermögend und ambulant",D967&gt;4,D967&lt;=8),196,IF(AND(L960="Vermögend und ambulant",D967&gt;2,D967&lt;=4),238,IF(AND(L960="Vermögend und ambulant",D967&gt;1,D967&lt;=2),258,IF(AND(L960="Vermögend und ambulant",D967&gt;0,D967&lt;=1),370,IF(AND(L960="Vermögend und stationär",D967&gt;8,D967&lt;=1000),96,IF(AND(L960="Vermögend und stationär",D967&gt;4,D967&lt;=8),113,IF(AND(L960="Vermögend und stationär",D967&gt;2,D967&lt;=4),174,IF(AND(L960="Vermögend und stationär",D967&gt;1,D967&lt;=2),196,IF(AND(L960="Vermögend und stationär",D967&gt;0,D967&lt;=1),249,IF(AND(L960="Mittellos und ambulant",D967&gt;8,D967&lt;=1000),130,IF(AND(L960="Mittellos und ambulant",D967&gt;4,D967&lt;=8),151,IF(AND(L960="Mittellos und ambulant",D967&gt;2,D967&lt;=4),188,IF(AND(L960="Mittellos und ambulant",D967&gt;1,D967&lt;=2),211,IF(AND(L960="Mittellos und ambulant",D967&gt;0,D967&lt;=1),258,IF(AND(L960="Mittellos und stationär",D967&gt;8,D967&lt;=1000),78,IF(AND(L960="Mittellos und stationär",D967&gt;4,D967&lt;=8),107,IF(AND(L960="Mittellos und stationär",D967&gt;2,D967&lt;=4),154,IF(AND(L960="Mittellos und stationär",D967&gt;1,D967&lt;=2),158,IF(AND(L960="Mittellos und stationär",D967&gt;0,D967&lt;=1),241,""))))))))))))))))))))),IF(M959="Stufe C",IF(AND(L960="Auswahl treffen",D967&gt;=0,D967&lt;=1000),J959,IF(AND(L960="Vermögend und ambulant",D967&gt;8,D967&lt;=1000),211,IF(AND(L960="Vermögend und ambulant",D967&gt;4,D967&lt;=8),257,IF(AND(L960="Vermögend und ambulant",D967&gt;2,D967&lt;=4),312,IF(AND(L960="Vermögend und ambulant",D967&gt;1,D967&lt;=2),339,IF(AND(L960="Vermögend und ambulant",D967&gt;0,D967&lt;=1),486,IF(AND(L960="Vermögend und stationär",D967&gt;8,D967&lt;=1000),127,IF(AND(L960="Vermögend und stationär",D967&gt;4,D967&lt;=8),149,IF(AND(L960="Vermögend und stationär",D967&gt;2,D967&lt;=4),229,IF(AND(L960="Vermögend und stationär",D967&gt;1,D967&lt;=2),257,IF(AND(L960="Vermögend und stationär",D967&gt;0,D967&lt;=1),327,IF(AND(L960="Mittellos und ambulant",D967&gt;8,D967&lt;=1000),171,IF(AND(L960="Mittellos und ambulant",D967&gt;4,D967&lt;=8),198,IF(AND(L960="Mittellos und ambulant",D967&gt;2,D967&lt;=4),246,IF(AND(L960="Mittellos und ambulant",D967&gt;1,D967&lt;=2),277,IF(AND(L960="Mittellos und ambulant",D967&gt;0,D967&lt;=1),339,IF(AND(L960="Mittellos und stationär",D967&gt;8,D967&lt;=1000),102,IF(AND(L960="Mittellos und stationär",D967&gt;4,D967&lt;=8),141,IF(AND(L960="Mittellos und stationär",D967&gt;2,D967&lt;=4),202,IF(AND(L960="Mittellos und stationär",D967&gt;1,D967&lt;=2),208,IF(AND(L960="Mittellos und stationär",D967&gt;0,D967&lt;=1),317,""))))))))))))))))))))),"")))*3+(J959*90)</f>
        <v>#NUM!</v>
      </c>
      <c r="M968" s="507" t="str">
        <f>CONCATENATE(K968, K967)</f>
        <v>+Inflat.-P</v>
      </c>
      <c r="N968" s="216"/>
      <c r="O968" s="188"/>
      <c r="P968" s="188"/>
      <c r="Q968" s="217" t="s">
        <v>118</v>
      </c>
      <c r="R968" s="189"/>
      <c r="S968" s="190"/>
      <c r="T968" s="190"/>
      <c r="U968" s="191"/>
      <c r="V968" s="192"/>
      <c r="W968" s="190"/>
      <c r="X968" s="190"/>
      <c r="Y968" s="191"/>
      <c r="Z968" s="192"/>
      <c r="AA968" s="190"/>
      <c r="AB968" s="190"/>
      <c r="AC968" s="191"/>
      <c r="AD968" s="192"/>
      <c r="AE968" s="190" t="s">
        <v>118</v>
      </c>
      <c r="AF968" s="190" t="s">
        <v>117</v>
      </c>
      <c r="AG968" s="191" t="s">
        <v>26</v>
      </c>
      <c r="AH968" s="193"/>
      <c r="AI968" s="190" t="s">
        <v>118</v>
      </c>
      <c r="AJ968" s="190" t="s">
        <v>117</v>
      </c>
      <c r="AK968" s="374" t="s">
        <v>26</v>
      </c>
      <c r="AL968" s="348" t="s">
        <v>151</v>
      </c>
      <c r="AM968" s="354"/>
      <c r="AN968" s="354"/>
      <c r="AO968" s="354"/>
      <c r="AP968" s="354">
        <f>IF(SUM(Q960:Q968)=SUM(AE960:AE968,AI960:AI968), 0, SUM(Q960:Q968)-SUM(AE960:AE968,AI960:AI968))</f>
        <v>0</v>
      </c>
      <c r="AQ968" s="350">
        <f>AM968+AN968+AO968+AP968</f>
        <v>0</v>
      </c>
      <c r="AR968" s="769"/>
      <c r="AS968" s="769"/>
      <c r="AT968" s="769"/>
      <c r="BM968" s="335"/>
    </row>
    <row r="969" spans="1:65" ht="22" customHeight="1">
      <c r="A969" s="181">
        <f t="shared" ref="A969:A998" si="333">$A968</f>
        <v>45292</v>
      </c>
      <c r="B969" s="232" t="s">
        <v>74</v>
      </c>
      <c r="C969" s="233" t="s">
        <v>75</v>
      </c>
      <c r="D969" s="234" t="s">
        <v>76</v>
      </c>
      <c r="E969" s="235" t="s">
        <v>11</v>
      </c>
      <c r="F969" s="235" t="s">
        <v>4</v>
      </c>
      <c r="G969" s="235" t="s">
        <v>5</v>
      </c>
      <c r="H969" s="235" t="s">
        <v>6</v>
      </c>
      <c r="I969" s="236" t="s">
        <v>77</v>
      </c>
      <c r="J969" s="306"/>
      <c r="K969" s="506" t="str">
        <f t="shared" si="314"/>
        <v/>
      </c>
      <c r="L969" s="306" t="str">
        <f>IFERROR(VLOOKUP(B970,'Aktuelle Einnahmen'!A2:J104,10,0),"")</f>
        <v/>
      </c>
      <c r="M969" s="510" t="str">
        <f>M959</f>
        <v>Stufe C</v>
      </c>
      <c r="N969" s="237"/>
      <c r="O969" s="238"/>
      <c r="P969" s="238"/>
      <c r="Q969" s="239"/>
      <c r="R969" s="240"/>
      <c r="S969" s="241"/>
      <c r="T969" s="241"/>
      <c r="U969" s="242"/>
      <c r="V969" s="243"/>
      <c r="W969" s="241"/>
      <c r="X969" s="241"/>
      <c r="Y969" s="242"/>
      <c r="Z969" s="243"/>
      <c r="AA969" s="241"/>
      <c r="AB969" s="241"/>
      <c r="AC969" s="242"/>
      <c r="AD969" s="243"/>
      <c r="AE969" s="241"/>
      <c r="AF969" s="241"/>
      <c r="AG969" s="242"/>
      <c r="AH969" s="240"/>
      <c r="AI969" s="241"/>
      <c r="AJ969" s="241"/>
      <c r="AK969" s="377"/>
      <c r="AL969" s="347"/>
      <c r="AM969" s="353"/>
      <c r="AN969" s="353"/>
      <c r="AO969" s="353"/>
      <c r="AP969" s="353"/>
      <c r="AQ969" s="349"/>
      <c r="AR969" s="768"/>
      <c r="AS969" s="768"/>
      <c r="AT969" s="768"/>
      <c r="BM969" s="335"/>
    </row>
    <row r="970" spans="1:65" ht="23" customHeight="1">
      <c r="A970" s="181">
        <f t="shared" si="333"/>
        <v>45292</v>
      </c>
      <c r="B970" s="182">
        <v>97</v>
      </c>
      <c r="C970" s="245">
        <f>IFERROR(VLOOKUP($B970,'Aktuelle Einnahmen'!A2:G104,3,0),"")</f>
        <v>0</v>
      </c>
      <c r="D970" s="246">
        <f>IFERROR(VLOOKUP($B970,'Aktuelle Einnahmen'!A2:G104,2,0),"")</f>
        <v>0</v>
      </c>
      <c r="E970" s="247">
        <f>IFERROR(VLOOKUP($B970,'Aktuelle Einnahmen'!A2:G104,4,0),"")</f>
        <v>0</v>
      </c>
      <c r="F970" s="94">
        <f>IFERROR(VLOOKUP($B970,'Aktuelle Einnahmen'!A2:G104,5,0),"")</f>
        <v>0</v>
      </c>
      <c r="G970" s="94">
        <f>IFERROR(VLOOKUP($B970,'Aktuelle Einnahmen'!A2:G104,6,0),"")</f>
        <v>0</v>
      </c>
      <c r="H970" s="94">
        <f>IFERROR(VLOOKUP($B970,'Aktuelle Einnahmen'!A2:G104,7,0),"")</f>
        <v>0</v>
      </c>
      <c r="I970" s="186" t="e">
        <f>DATE(H970,G970,F970)</f>
        <v>#NUM!</v>
      </c>
      <c r="J970" s="472">
        <f ca="1">J960</f>
        <v>45475</v>
      </c>
      <c r="K970" s="501" t="str">
        <f t="shared" si="314"/>
        <v>+Inflat.-P</v>
      </c>
      <c r="L970" s="1262" t="str">
        <f>IFERROR(VLOOKUP(B970,'Aktuelle Einnahmen'!A22:I124,9,0),"")</f>
        <v>Auswahl treffen</v>
      </c>
      <c r="M970" s="1263"/>
      <c r="N970" s="261"/>
      <c r="O970" s="261"/>
      <c r="P970" s="261"/>
      <c r="Q970" s="261"/>
      <c r="R970" s="189"/>
      <c r="S970" s="190"/>
      <c r="T970" s="190"/>
      <c r="U970" s="191"/>
      <c r="V970" s="192"/>
      <c r="W970" s="190"/>
      <c r="X970" s="190"/>
      <c r="Y970" s="191"/>
      <c r="Z970" s="192"/>
      <c r="AA970" s="190"/>
      <c r="AB970" s="190"/>
      <c r="AC970" s="191"/>
      <c r="AD970" s="192"/>
      <c r="AE970" s="190"/>
      <c r="AF970" s="190"/>
      <c r="AG970" s="191"/>
      <c r="AH970" s="193"/>
      <c r="AI970" s="190"/>
      <c r="AJ970" s="190"/>
      <c r="AK970" s="374"/>
      <c r="AL970" s="348"/>
      <c r="AM970" s="354"/>
      <c r="AN970" s="354"/>
      <c r="AO970" s="354"/>
      <c r="AP970" s="354"/>
      <c r="AQ970" s="350"/>
      <c r="AR970" s="769"/>
      <c r="AS970" s="769"/>
      <c r="AT970" s="769"/>
      <c r="BM970" s="335"/>
    </row>
    <row r="971" spans="1:65" ht="22.25" customHeight="1">
      <c r="A971" s="181">
        <f t="shared" si="333"/>
        <v>45292</v>
      </c>
      <c r="B971" s="484" t="e">
        <f>DAY(I970)</f>
        <v>#NUM!</v>
      </c>
      <c r="C971" s="489" t="s">
        <v>158</v>
      </c>
      <c r="D971" s="520" t="e">
        <f>(I971*4)+J971/3+1</f>
        <v>#NUM!</v>
      </c>
      <c r="E971" s="194" t="e">
        <f>J973+1</f>
        <v>#NUM!</v>
      </c>
      <c r="F971" s="195" t="e">
        <f t="shared" ref="F971:F978" si="334">DAY(E971)</f>
        <v>#NUM!</v>
      </c>
      <c r="G971" s="196" t="e">
        <f t="shared" ref="G971:G978" si="335">MONTH(E971)</f>
        <v>#NUM!</v>
      </c>
      <c r="H971" s="195" t="e">
        <f t="shared" ref="H971:H978" si="336">YEAR(E971)</f>
        <v>#NUM!</v>
      </c>
      <c r="I971" s="197" t="e">
        <f>H971-(H970+2000)</f>
        <v>#NUM!</v>
      </c>
      <c r="J971" s="198" t="e">
        <f>G971-G970</f>
        <v>#NUM!</v>
      </c>
      <c r="K971" s="506" t="str">
        <f>L969</f>
        <v/>
      </c>
      <c r="L971" s="469"/>
      <c r="M971" s="473" t="e">
        <f ca="1">SUM(J970-E972)&amp;" Tage"</f>
        <v>#NUM!</v>
      </c>
      <c r="N971" s="206"/>
      <c r="O971" s="201"/>
      <c r="P971" s="201"/>
      <c r="Q971" s="202"/>
      <c r="R971" s="189"/>
      <c r="S971" s="203"/>
      <c r="T971" s="203"/>
      <c r="U971" s="204"/>
      <c r="V971" s="192"/>
      <c r="W971" s="203"/>
      <c r="X971" s="203"/>
      <c r="Y971" s="204"/>
      <c r="Z971" s="192"/>
      <c r="AA971" s="203"/>
      <c r="AB971" s="203"/>
      <c r="AC971" s="204"/>
      <c r="AD971" s="192"/>
      <c r="AE971" s="203"/>
      <c r="AF971" s="203"/>
      <c r="AG971" s="204"/>
      <c r="AH971" s="193"/>
      <c r="AI971" s="203"/>
      <c r="AJ971" s="203"/>
      <c r="AK971" s="375"/>
      <c r="AL971" s="348"/>
      <c r="AM971" s="354"/>
      <c r="AN971" s="354"/>
      <c r="AO971" s="354"/>
      <c r="AP971" s="354"/>
      <c r="AQ971" s="350"/>
      <c r="AR971" s="769"/>
      <c r="AS971" s="769"/>
      <c r="AT971" s="769"/>
      <c r="BM971" s="335"/>
    </row>
    <row r="972" spans="1:65" ht="22.25" customHeight="1">
      <c r="A972" s="181">
        <f t="shared" si="333"/>
        <v>45292</v>
      </c>
      <c r="B972" s="485"/>
      <c r="C972" s="490"/>
      <c r="D972" s="521"/>
      <c r="E972" s="194" t="e">
        <f>DATE(YEAR(E971),MONTH(E971)+3,DAY(E971)-1)</f>
        <v>#NUM!</v>
      </c>
      <c r="F972" s="195" t="e">
        <f t="shared" si="334"/>
        <v>#NUM!</v>
      </c>
      <c r="G972" s="196" t="e">
        <f t="shared" si="335"/>
        <v>#NUM!</v>
      </c>
      <c r="H972" s="195" t="e">
        <f t="shared" si="336"/>
        <v>#NUM!</v>
      </c>
      <c r="I972" s="244">
        <v>-1</v>
      </c>
      <c r="J972" s="198" t="e">
        <f>F971-F970</f>
        <v>#NUM!</v>
      </c>
      <c r="K972" s="506" t="str">
        <f t="shared" si="314"/>
        <v>+Inflat.-P</v>
      </c>
      <c r="L972" s="511" t="e">
        <f>IF(M969="Stufe A",IF(AND(L970="Auswahl treffen",D971&gt;=0,D971&lt;=1000),J969,IF(AND(L970="Vermögend und ambulant",D971&gt;8,D971&lt;=1000),130,IF(AND(L970="Vermögend und ambulant",D971&gt;4,D971&lt;=8),158,IF(AND(L970="Vermögend und ambulant",D971&gt;2,D971&lt;=4),192,IF(AND(L970="Vermögend und ambulant",D971&gt;1,D971&lt;=2),208,IF(AND(L970="Vermögend und ambulant",D971&gt;0,D971&lt;=1),298,IF(AND(L970="Vermögend und stationär",D971&gt;8,D971&lt;=1000),78,IF(AND(L970="Vermögend und stationär",D971&gt;4,D971&lt;=8),91,IF(AND(L970="Vermögend und stationär",D971&gt;2,D971&lt;=4),140,IF(AND(L970="Vermögend und stationär",D971&gt;1,D971&lt;=2),158,IF(AND(L970="Vermögend und stationär",D971&gt;0,D971&lt;=1),200,IF(AND(L970="Mittellos und ambulant",D971&gt;8,D971&lt;=1000),105,IF(AND(L970="Mittellos und ambulant",D971&gt;4,D971&lt;=8),122,IF(AND(L970="Mittellos und ambulant",D971&gt;2,D971&lt;=4),151,IF(AND(L970="Mittellos und ambulant",D971&gt;1,D971&lt;=2),170,IF(AND(L970="Mittellos und ambulant",D971&gt;0,D971&lt;=1),208,IF(AND(L970="Mittellos und stationär",D971&gt;8,D971&lt;=1000),62,IF(AND(L970="Mittellos und stationär",D971&gt;4,D971&lt;=8),87,IF(AND(L970="Mittellos und stationär",D971&gt;2,D971&lt;=4),124,IF(AND(L970="Mittellos und stationär",D971&gt;1,D971&lt;=2),129,IF(AND(L970="Mittellos und stationär",D971&gt;0,D971&lt;=1),194,""))))))))))))))))))))),IF(M969="Stufe B",IF(AND(L970="Auswahl treffen",D971&gt;=0,D971&lt;=1000),J969,IF(AND(L970="Vermögend und ambulant",D971&gt;8,D971&lt;=1000),161,IF(AND(L970="Vermögend und ambulant",D971&gt;4,D971&lt;=8),196,IF(AND(L970="Vermögend und ambulant",D971&gt;2,D971&lt;=4),238,IF(AND(L970="Vermögend und ambulant",D971&gt;1,D971&lt;=2),258,IF(AND(L970="Vermögend und ambulant",D971&gt;0,D971&lt;=1),370,IF(AND(L970="Vermögend und stationär",D971&gt;8,D971&lt;=1000),96,IF(AND(L970="Vermögend und stationär",D971&gt;4,D971&lt;=8),113,IF(AND(L970="Vermögend und stationär",D971&gt;2,D971&lt;=4),174,IF(AND(L970="Vermögend und stationär",D971&gt;1,D971&lt;=2),196,IF(AND(L970="Vermögend und stationär",D971&gt;0,D971&lt;=1),249,IF(AND(L970="Mittellos und ambulant",D971&gt;8,D971&lt;=1000),130,IF(AND(L970="Mittellos und ambulant",D971&gt;4,D971&lt;=8),151,IF(AND(L970="Mittellos und ambulant",D971&gt;2,D971&lt;=4),188,IF(AND(L970="Mittellos und ambulant",D971&gt;1,D971&lt;=2),211,IF(AND(L970="Mittellos und ambulant",D971&gt;0,D971&lt;=1),258,IF(AND(L970="Mittellos und stationär",D971&gt;8,D971&lt;=1000),78,IF(AND(L970="Mittellos und stationär",D971&gt;4,D971&lt;=8),107,IF(AND(L970="Mittellos und stationär",D971&gt;2,D971&lt;=4),154,IF(AND(L970="Mittellos und stationär",D971&gt;1,D971&lt;=2),158,IF(AND(L970="Mittellos und stationär",D971&gt;0,D971&lt;=1),241,""))))))))))))))))))))),IF(M969="Stufe C",IF(AND(L970="Auswahl treffen",D971&gt;=0,D971&lt;=1000),J969,IF(AND(L970="Vermögend und ambulant",D971&gt;8,D971&lt;=1000),211,IF(AND(L970="Vermögend und ambulant",D971&gt;4,D971&lt;=8),257,IF(AND(L970="Vermögend und ambulant",D971&gt;2,D971&lt;=4),312,IF(AND(L970="Vermögend und ambulant",D971&gt;1,D971&lt;=2),339,IF(AND(L970="Vermögend und ambulant",D971&gt;0,D971&lt;=1),486,IF(AND(L970="Vermögend und stationär",D971&gt;8,D971&lt;=1000),127,IF(AND(L970="Vermögend und stationär",D971&gt;4,D971&lt;=8),149,IF(AND(L970="Vermögend und stationär",D971&gt;2,D971&lt;=4),229,IF(AND(L970="Vermögend und stationär",D971&gt;1,D971&lt;=2),257,IF(AND(L970="Vermögend und stationär",D971&gt;0,D971&lt;=1),327,IF(AND(L970="Mittellos und ambulant",D971&gt;8,D971&lt;=1000),171,IF(AND(L970="Mittellos und ambulant",D971&gt;4,D971&lt;=8),198,IF(AND(L970="Mittellos und ambulant",D971&gt;2,D971&lt;=4),246,IF(AND(L970="Mittellos und ambulant",D971&gt;1,D971&lt;=2),277,IF(AND(L970="Mittellos und ambulant",D971&gt;0,D971&lt;=1),339,IF(AND(L970="Mittellos und stationär",D971&gt;8,D971&lt;=1000),102,IF(AND(L970="Mittellos und stationär",D971&gt;4,D971&lt;=8),141,IF(AND(L970="Mittellos und stationär",D971&gt;2,D971&lt;=4),202,IF(AND(L970="Mittellos und stationär",D971&gt;1,D971&lt;=2),208,IF(AND(L970="Mittellos und stationär",D971&gt;0,D971&lt;=1),317,""))))))))))))))))))))),"")))*3+(J969*90)</f>
        <v>#NUM!</v>
      </c>
      <c r="M972" s="507" t="str">
        <f>CONCATENATE(K972, K971)</f>
        <v>+Inflat.-P</v>
      </c>
      <c r="N972" s="206" t="s">
        <v>118</v>
      </c>
      <c r="O972" s="207"/>
      <c r="P972" s="207"/>
      <c r="Q972" s="208"/>
      <c r="R972" s="187"/>
      <c r="S972" s="209" t="s">
        <v>118</v>
      </c>
      <c r="T972" s="201" t="s">
        <v>117</v>
      </c>
      <c r="U972" s="210" t="s">
        <v>26</v>
      </c>
      <c r="V972" s="192"/>
      <c r="W972" s="203"/>
      <c r="X972" s="203"/>
      <c r="Y972" s="210"/>
      <c r="Z972" s="192"/>
      <c r="AA972" s="203"/>
      <c r="AB972" s="203"/>
      <c r="AC972" s="210"/>
      <c r="AD972" s="192"/>
      <c r="AE972" s="203"/>
      <c r="AF972" s="203"/>
      <c r="AG972" s="210"/>
      <c r="AH972" s="193"/>
      <c r="AI972" s="203"/>
      <c r="AJ972" s="203"/>
      <c r="AK972" s="376"/>
      <c r="AL972" s="348" t="s">
        <v>148</v>
      </c>
      <c r="AM972" s="354">
        <f>IF(SUM(N970:N978)=SUM(S970:S978), 0, SUM(N970:N978)-SUM(S970:S978))</f>
        <v>0</v>
      </c>
      <c r="AN972" s="354"/>
      <c r="AO972" s="354"/>
      <c r="AP972" s="354"/>
      <c r="AQ972" s="350">
        <f>AM972+AN972+AO972+AP972</f>
        <v>0</v>
      </c>
      <c r="AR972" s="769"/>
      <c r="AS972" s="769"/>
      <c r="AT972" s="769"/>
      <c r="BM972" s="335"/>
    </row>
    <row r="973" spans="1:65" ht="22.25" customHeight="1">
      <c r="A973" s="181">
        <f t="shared" si="333"/>
        <v>45292</v>
      </c>
      <c r="B973" s="484" t="e">
        <f>MONTH(I970)</f>
        <v>#NUM!</v>
      </c>
      <c r="C973" s="489" t="s">
        <v>158</v>
      </c>
      <c r="D973" s="522" t="e">
        <f>D971+1</f>
        <v>#NUM!</v>
      </c>
      <c r="E973" s="211" t="e">
        <f>DATE(YEAR(E972),MONTH(E972),DAY(E972)+1)</f>
        <v>#NUM!</v>
      </c>
      <c r="F973" s="212" t="e">
        <f t="shared" si="334"/>
        <v>#NUM!</v>
      </c>
      <c r="G973" s="213" t="e">
        <f t="shared" si="335"/>
        <v>#NUM!</v>
      </c>
      <c r="H973" s="212" t="e">
        <f t="shared" si="336"/>
        <v>#NUM!</v>
      </c>
      <c r="I973" s="214" t="str">
        <f>IF(D970&lt;&gt;0,"-1T","")</f>
        <v/>
      </c>
      <c r="J973" s="215" t="e">
        <f>DATE($B975,I974,$B971)</f>
        <v>#NUM!</v>
      </c>
      <c r="K973" s="501" t="str">
        <f t="shared" si="314"/>
        <v/>
      </c>
      <c r="L973" s="470"/>
      <c r="M973" s="473" t="e">
        <f ca="1">SUM(J970-E974)&amp;" Tage"</f>
        <v>#NUM!</v>
      </c>
      <c r="N973" s="216"/>
      <c r="O973" s="217"/>
      <c r="P973" s="188"/>
      <c r="Q973" s="217"/>
      <c r="R973" s="189"/>
      <c r="S973" s="190"/>
      <c r="T973" s="190"/>
      <c r="U973" s="191"/>
      <c r="V973" s="192"/>
      <c r="W973" s="190"/>
      <c r="X973" s="190"/>
      <c r="Y973" s="191"/>
      <c r="Z973" s="192"/>
      <c r="AA973" s="190"/>
      <c r="AB973" s="190"/>
      <c r="AC973" s="191"/>
      <c r="AD973" s="192"/>
      <c r="AE973" s="190"/>
      <c r="AF973" s="190"/>
      <c r="AG973" s="191"/>
      <c r="AH973" s="193"/>
      <c r="AI973" s="190"/>
      <c r="AJ973" s="190"/>
      <c r="AK973" s="374"/>
      <c r="AL973" s="348"/>
      <c r="AM973" s="354"/>
      <c r="AN973" s="354"/>
      <c r="AO973" s="354"/>
      <c r="AP973" s="354"/>
      <c r="AQ973" s="350"/>
      <c r="AR973" s="769"/>
      <c r="AS973" s="769"/>
      <c r="AT973" s="769"/>
      <c r="BM973" s="335"/>
    </row>
    <row r="974" spans="1:65" ht="22.25" customHeight="1">
      <c r="A974" s="181">
        <f t="shared" si="333"/>
        <v>45292</v>
      </c>
      <c r="B974" s="485"/>
      <c r="C974" s="490"/>
      <c r="D974" s="521"/>
      <c r="E974" s="218" t="e">
        <f>DATE(YEAR(E973),MONTH(E973)+3,DAY(E973)-1)</f>
        <v>#NUM!</v>
      </c>
      <c r="F974" s="212" t="e">
        <f t="shared" si="334"/>
        <v>#NUM!</v>
      </c>
      <c r="G974" s="213" t="e">
        <f t="shared" si="335"/>
        <v>#NUM!</v>
      </c>
      <c r="H974" s="212" t="e">
        <f t="shared" si="336"/>
        <v>#NUM!</v>
      </c>
      <c r="I974" s="219">
        <f>MAX(I975:I978)</f>
        <v>9</v>
      </c>
      <c r="J974" s="220" t="e">
        <f>DATE(YEAR(J973)+1,MONTH(J973),DAY(J973))</f>
        <v>#NUM!</v>
      </c>
      <c r="K974" s="506" t="str">
        <f t="shared" ref="K974:K998" si="337">K972</f>
        <v>+Inflat.-P</v>
      </c>
      <c r="L974" s="508" t="e">
        <f>IF(M969="Stufe A",IF(AND(L970="Auswahl treffen",D973&gt;=0,D973&lt;=1000),J969,IF(AND(L970="Vermögend und ambulant",D973&gt;8,D973&lt;=1000),130,IF(AND(L970="Vermögend und ambulant",D973&gt;4,D973&lt;=8),158,IF(AND(L970="Vermögend und ambulant",D973&gt;2,D973&lt;=4),192,IF(AND(L970="Vermögend und ambulant",D973&gt;1,D973&lt;=2),208,IF(AND(L970="Vermögend und ambulant",D973&gt;0,D973&lt;=1),298,IF(AND(L970="Vermögend und stationär",D973&gt;8,D973&lt;=1000),78,IF(AND(L970="Vermögend und stationär",D973&gt;4,D973&lt;=8),91,IF(AND(L970="Vermögend und stationär",D973&gt;2,D973&lt;=4),140,IF(AND(L970="Vermögend und stationär",D973&gt;1,D973&lt;=2),158,IF(AND(L970="Vermögend und stationär",D973&gt;0,D973&lt;=1),200,IF(AND(L970="Mittellos und ambulant",D973&gt;8,D973&lt;=1000),105,IF(AND(L970="Mittellos und ambulant",D973&gt;4,D973&lt;=8),122,IF(AND(L970="Mittellos und ambulant",D973&gt;2,D973&lt;=4),151,IF(AND(L970="Mittellos und ambulant",D973&gt;1,D973&lt;=2),170,IF(AND(L970="Mittellos und ambulant",D973&gt;0,D973&lt;=1),208,IF(AND(L970="Mittellos und stationär",D973&gt;8,D973&lt;=1000),62,IF(AND(L970="Mittellos und stationär",D973&gt;4,D973&lt;=8),87,IF(AND(L970="Mittellos und stationär",D973&gt;2,D973&lt;=4),124,IF(AND(L970="Mittellos und stationär",D973&gt;1,D973&lt;=2),129,IF(AND(L970="Mittellos und stationär",D973&gt;0,D973&lt;=1),194,""))))))))))))))))))))),IF(M969="Stufe B",IF(AND(L970="Auswahl treffen",D973&gt;=0,D973&lt;=1000),J969,IF(AND(L970="Vermögend und ambulant",D973&gt;8,D973&lt;=1000),161,IF(AND(L970="Vermögend und ambulant",D973&gt;4,D973&lt;=8),196,IF(AND(L970="Vermögend und ambulant",D973&gt;2,D973&lt;=4),238,IF(AND(L970="Vermögend und ambulant",D973&gt;1,D973&lt;=2),258,IF(AND(L970="Vermögend und ambulant",D973&gt;0,D973&lt;=1),370,IF(AND(L970="Vermögend und stationär",D973&gt;8,D973&lt;=1000),96,IF(AND(L970="Vermögend und stationär",D973&gt;4,D973&lt;=8),113,IF(AND(L970="Vermögend und stationär",D973&gt;2,D973&lt;=4),174,IF(AND(L970="Vermögend und stationär",D973&gt;1,D973&lt;=2),196,IF(AND(L970="Vermögend und stationär",D973&gt;0,D973&lt;=1),249,IF(AND(L970="Mittellos und ambulant",D973&gt;8,D973&lt;=1000),130,IF(AND(L970="Mittellos und ambulant",D973&gt;4,D973&lt;=8),151,IF(AND(L970="Mittellos und ambulant",D973&gt;2,D973&lt;=4),188,IF(AND(L970="Mittellos und ambulant",D973&gt;1,D973&lt;=2),211,IF(AND(L970="Mittellos und ambulant",D973&gt;0,D973&lt;=1),258,IF(AND(L970="Mittellos und stationär",D973&gt;8,D973&lt;=1000),78,IF(AND(L970="Mittellos und stationär",D973&gt;4,D973&lt;=8),107,IF(AND(L970="Mittellos und stationär",D973&gt;2,D973&lt;=4),154,IF(AND(L970="Mittellos und stationär",D973&gt;1,D973&lt;=2),158,IF(AND(L970="Mittellos und stationär",D973&gt;0,D973&lt;=1),241,""))))))))))))))))))))),IF(M969="Stufe C",IF(AND(L970="Auswahl treffen",D973&gt;=0,D973&lt;=1000),J969,IF(AND(L970="Vermögend und ambulant",D973&gt;8,D973&lt;=1000),211,IF(AND(L970="Vermögend und ambulant",D973&gt;4,D973&lt;=8),257,IF(AND(L970="Vermögend und ambulant",D973&gt;2,D973&lt;=4),312,IF(AND(L970="Vermögend und ambulant",D973&gt;1,D973&lt;=2),339,IF(AND(L970="Vermögend und ambulant",D973&gt;0,D973&lt;=1),486,IF(AND(L970="Vermögend und stationär",D973&gt;8,D973&lt;=1000),127,IF(AND(L970="Vermögend und stationär",D973&gt;4,D973&lt;=8),149,IF(AND(L970="Vermögend und stationär",D973&gt;2,D973&lt;=4),229,IF(AND(L970="Vermögend und stationär",D973&gt;1,D973&lt;=2),257,IF(AND(L970="Vermögend und stationär",D973&gt;0,D973&lt;=1),327,IF(AND(L970="Mittellos und ambulant",D973&gt;8,D973&lt;=1000),171,IF(AND(L970="Mittellos und ambulant",D973&gt;4,D973&lt;=8),198,IF(AND(L970="Mittellos und ambulant",D973&gt;2,D973&lt;=4),246,IF(AND(L970="Mittellos und ambulant",D973&gt;1,D973&lt;=2),277,IF(AND(L970="Mittellos und ambulant",D973&gt;0,D973&lt;=1),339,IF(AND(L970="Mittellos und stationär",D973&gt;8,D973&lt;=1000),102,IF(AND(L970="Mittellos und stationär",D973&gt;4,D973&lt;=8),141,IF(AND(L970="Mittellos und stationär",D973&gt;2,D973&lt;=4),202,IF(AND(L970="Mittellos und stationär",D973&gt;1,D973&lt;=2),208,IF(AND(L970="Mittellos und stationär",D973&gt;0,D973&lt;=1),317,""))))))))))))))))))))),"")))*3+(J969*90)</f>
        <v>#NUM!</v>
      </c>
      <c r="M974" s="507" t="str">
        <f>CONCATENATE(K974, K973)</f>
        <v>+Inflat.-P</v>
      </c>
      <c r="N974" s="216"/>
      <c r="O974" s="188" t="s">
        <v>118</v>
      </c>
      <c r="P974" s="188"/>
      <c r="Q974" s="221"/>
      <c r="R974" s="199"/>
      <c r="S974" s="190"/>
      <c r="T974" s="190"/>
      <c r="U974" s="191"/>
      <c r="V974" s="192"/>
      <c r="W974" s="222" t="s">
        <v>118</v>
      </c>
      <c r="X974" s="222" t="s">
        <v>117</v>
      </c>
      <c r="Y974" s="191" t="s">
        <v>26</v>
      </c>
      <c r="Z974" s="192"/>
      <c r="AA974" s="190"/>
      <c r="AB974" s="190"/>
      <c r="AC974" s="191"/>
      <c r="AD974" s="192"/>
      <c r="AE974" s="190"/>
      <c r="AF974" s="190"/>
      <c r="AG974" s="191"/>
      <c r="AH974" s="193"/>
      <c r="AI974" s="190"/>
      <c r="AJ974" s="190"/>
      <c r="AK974" s="374"/>
      <c r="AL974" s="348" t="s">
        <v>149</v>
      </c>
      <c r="AM974" s="354"/>
      <c r="AN974" s="354">
        <f>IF(SUM(O970:O978)=SUM(W970:W978), 0, SUM(O970:O978)-SUM(W970:W978))</f>
        <v>0</v>
      </c>
      <c r="AO974" s="354"/>
      <c r="AP974" s="354"/>
      <c r="AQ974" s="350">
        <f>AM974+AN974+AO974+AP974</f>
        <v>0</v>
      </c>
      <c r="AR974" s="769"/>
      <c r="AS974" s="769"/>
      <c r="AT974" s="769"/>
      <c r="BM974" s="335"/>
    </row>
    <row r="975" spans="1:65" ht="22.25" customHeight="1">
      <c r="A975" s="181">
        <f t="shared" si="333"/>
        <v>45292</v>
      </c>
      <c r="B975" s="484">
        <f>YEAR($A976)-1</f>
        <v>2023</v>
      </c>
      <c r="C975" s="489" t="s">
        <v>158</v>
      </c>
      <c r="D975" s="520" t="e">
        <f>D973+1</f>
        <v>#NUM!</v>
      </c>
      <c r="E975" s="194" t="e">
        <f>DATE(YEAR(E974),MONTH(E974),DAY(E974)+1)</f>
        <v>#NUM!</v>
      </c>
      <c r="F975" s="195" t="e">
        <f t="shared" si="334"/>
        <v>#NUM!</v>
      </c>
      <c r="G975" s="196" t="e">
        <f t="shared" si="335"/>
        <v>#NUM!</v>
      </c>
      <c r="H975" s="195" t="e">
        <f t="shared" si="336"/>
        <v>#NUM!</v>
      </c>
      <c r="I975" s="197">
        <f>IF(J977&lt;13,J977,"")</f>
        <v>9</v>
      </c>
      <c r="J975" s="224">
        <f>G970</f>
        <v>0</v>
      </c>
      <c r="K975" s="501" t="str">
        <f t="shared" si="337"/>
        <v/>
      </c>
      <c r="L975" s="471"/>
      <c r="M975" s="473" t="e">
        <f ca="1">SUM(J970-E976)&amp;" Tage"</f>
        <v>#NUM!</v>
      </c>
      <c r="N975" s="200"/>
      <c r="O975" s="201"/>
      <c r="P975" s="201"/>
      <c r="Q975" s="202"/>
      <c r="R975" s="189"/>
      <c r="S975" s="203"/>
      <c r="T975" s="203"/>
      <c r="U975" s="204"/>
      <c r="V975" s="192"/>
      <c r="W975" s="203"/>
      <c r="X975" s="203"/>
      <c r="Y975" s="204"/>
      <c r="Z975" s="192"/>
      <c r="AA975" s="203"/>
      <c r="AB975" s="203"/>
      <c r="AC975" s="204"/>
      <c r="AD975" s="192"/>
      <c r="AE975" s="203"/>
      <c r="AF975" s="203"/>
      <c r="AG975" s="204"/>
      <c r="AH975" s="193"/>
      <c r="AI975" s="203"/>
      <c r="AJ975" s="203"/>
      <c r="AK975" s="375"/>
      <c r="AL975" s="348"/>
      <c r="AM975" s="354"/>
      <c r="AN975" s="354"/>
      <c r="AO975" s="354"/>
      <c r="AP975" s="354"/>
      <c r="AQ975" s="350"/>
      <c r="AR975" s="769"/>
      <c r="AS975" s="769"/>
      <c r="AT975" s="769"/>
      <c r="BM975" s="335"/>
    </row>
    <row r="976" spans="1:65" ht="22.25" customHeight="1">
      <c r="A976" s="181">
        <f t="shared" si="333"/>
        <v>45292</v>
      </c>
      <c r="B976" s="485"/>
      <c r="C976" s="490"/>
      <c r="D976" s="521"/>
      <c r="E976" s="194" t="e">
        <f>DATE(YEAR(E975),MONTH(E975)+3,DAY(E975)-1)</f>
        <v>#NUM!</v>
      </c>
      <c r="F976" s="195" t="e">
        <f t="shared" si="334"/>
        <v>#NUM!</v>
      </c>
      <c r="G976" s="196" t="e">
        <f t="shared" si="335"/>
        <v>#NUM!</v>
      </c>
      <c r="H976" s="195" t="e">
        <f t="shared" si="336"/>
        <v>#NUM!</v>
      </c>
      <c r="I976" s="244">
        <f>IF(J978&lt;13,J978,"")</f>
        <v>6</v>
      </c>
      <c r="J976" s="224">
        <f>J975+3</f>
        <v>3</v>
      </c>
      <c r="K976" s="506" t="str">
        <f t="shared" si="337"/>
        <v>+Inflat.-P</v>
      </c>
      <c r="L976" s="511" t="e">
        <f>IF(M969="Stufe A",IF(AND(L970="Auswahl treffen",D975&gt;=0,D975&lt;=1000),J969,IF(AND(L970="Vermögend und ambulant",D975&gt;8,D975&lt;=1000),130,IF(AND(L970="Vermögend und ambulant",D975&gt;4,D975&lt;=8),158,IF(AND(L970="Vermögend und ambulant",D975&gt;2,D975&lt;=4),192,IF(AND(L970="Vermögend und ambulant",D975&gt;1,D975&lt;=2),208,IF(AND(L970="Vermögend und ambulant",D975&gt;0,D975&lt;=1),298,IF(AND(L970="Vermögend und stationär",D975&gt;8,D975&lt;=1000),78,IF(AND(L970="Vermögend und stationär",D975&gt;4,D975&lt;=8),91,IF(AND(L970="Vermögend und stationär",D975&gt;2,D975&lt;=4),140,IF(AND(L970="Vermögend und stationär",D975&gt;1,D975&lt;=2),158,IF(AND(L970="Vermögend und stationär",D975&gt;0,D975&lt;=1),200,IF(AND(L970="Mittellos und ambulant",D975&gt;8,D975&lt;=1000),105,IF(AND(L970="Mittellos und ambulant",D975&gt;4,D975&lt;=8),122,IF(AND(L970="Mittellos und ambulant",D975&gt;2,D975&lt;=4),151,IF(AND(L970="Mittellos und ambulant",D975&gt;1,D975&lt;=2),170,IF(AND(L970="Mittellos und ambulant",D975&gt;0,D975&lt;=1),208,IF(AND(L970="Mittellos und stationär",D975&gt;8,D975&lt;=1000),62,IF(AND(L970="Mittellos und stationär",D975&gt;4,D975&lt;=8),87,IF(AND(L970="Mittellos und stationär",D975&gt;2,D975&lt;=4),124,IF(AND(L970="Mittellos und stationär",D975&gt;1,D975&lt;=2),129,IF(AND(L970="Mittellos und stationär",D975&gt;0,D975&lt;=1),194,""))))))))))))))))))))),IF(M969="Stufe B",IF(AND(L970="Auswahl treffen",D975&gt;=0,D975&lt;=1000),J969,IF(AND(L970="Vermögend und ambulant",D975&gt;8,D975&lt;=1000),161,IF(AND(L970="Vermögend und ambulant",D975&gt;4,D975&lt;=8),196,IF(AND(L970="Vermögend und ambulant",D975&gt;2,D975&lt;=4),238,IF(AND(L970="Vermögend und ambulant",D975&gt;1,D975&lt;=2),258,IF(AND(L970="Vermögend und ambulant",D975&gt;0,D975&lt;=1),370,IF(AND(L970="Vermögend und stationär",D975&gt;8,D975&lt;=1000),96,IF(AND(L970="Vermögend und stationär",D975&gt;4,D975&lt;=8),113,IF(AND(L970="Vermögend und stationär",D975&gt;2,D975&lt;=4),174,IF(AND(L970="Vermögend und stationär",D975&gt;1,D975&lt;=2),196,IF(AND(L970="Vermögend und stationär",D975&gt;0,D975&lt;=1),249,IF(AND(L970="Mittellos und ambulant",D975&gt;8,D975&lt;=1000),130,IF(AND(L970="Mittellos und ambulant",D975&gt;4,D975&lt;=8),151,IF(AND(L970="Mittellos und ambulant",D975&gt;2,D975&lt;=4),188,IF(AND(L970="Mittellos und ambulant",D975&gt;1,D975&lt;=2),211,IF(AND(L970="Mittellos und ambulant",D975&gt;0,D975&lt;=1),258,IF(AND(L970="Mittellos und stationär",D975&gt;8,D975&lt;=1000),78,IF(AND(L970="Mittellos und stationär",D975&gt;4,D975&lt;=8),107,IF(AND(L970="Mittellos und stationär",D975&gt;2,D975&lt;=4),154,IF(AND(L970="Mittellos und stationär",D975&gt;1,D975&lt;=2),158,IF(AND(L970="Mittellos und stationär",D975&gt;0,D975&lt;=1),241,""))))))))))))))))))))),IF(M969="Stufe C",IF(AND(L970="Auswahl treffen",D975&gt;=0,D975&lt;=1000),J969,IF(AND(L970="Vermögend und ambulant",D975&gt;8,D975&lt;=1000),211,IF(AND(L970="Vermögend und ambulant",D975&gt;4,D975&lt;=8),257,IF(AND(L970="Vermögend und ambulant",D975&gt;2,D975&lt;=4),312,IF(AND(L970="Vermögend und ambulant",D975&gt;1,D975&lt;=2),339,IF(AND(L970="Vermögend und ambulant",D975&gt;0,D975&lt;=1),486,IF(AND(L970="Vermögend und stationär",D975&gt;8,D975&lt;=1000),127,IF(AND(L970="Vermögend und stationär",D975&gt;4,D975&lt;=8),149,IF(AND(L970="Vermögend und stationär",D975&gt;2,D975&lt;=4),229,IF(AND(L970="Vermögend und stationär",D975&gt;1,D975&lt;=2),257,IF(AND(L970="Vermögend und stationär",D975&gt;0,D975&lt;=1),327,IF(AND(L970="Mittellos und ambulant",D975&gt;8,D975&lt;=1000),171,IF(AND(L970="Mittellos und ambulant",D975&gt;4,D975&lt;=8),198,IF(AND(L970="Mittellos und ambulant",D975&gt;2,D975&lt;=4),246,IF(AND(L970="Mittellos und ambulant",D975&gt;1,D975&lt;=2),277,IF(AND(L970="Mittellos und ambulant",D975&gt;0,D975&lt;=1),339,IF(AND(L970="Mittellos und stationär",D975&gt;8,D975&lt;=1000),102,IF(AND(L970="Mittellos und stationär",D975&gt;4,D975&lt;=8),141,IF(AND(L970="Mittellos und stationär",D975&gt;2,D975&lt;=4),202,IF(AND(L970="Mittellos und stationär",D975&gt;1,D975&lt;=2),208,IF(AND(L970="Mittellos und stationär",D975&gt;0,D975&lt;=1),317,""))))))))))))))))))))),"")))*3+(J969*90)</f>
        <v>#NUM!</v>
      </c>
      <c r="M976" s="507" t="str">
        <f>CONCATENATE(K976, K975)</f>
        <v>+Inflat.-P</v>
      </c>
      <c r="N976" s="206"/>
      <c r="O976" s="207"/>
      <c r="P976" s="206" t="s">
        <v>118</v>
      </c>
      <c r="Q976" s="226"/>
      <c r="R976" s="189"/>
      <c r="S976" s="203"/>
      <c r="T976" s="203"/>
      <c r="U976" s="204"/>
      <c r="V976" s="192"/>
      <c r="W976" s="203"/>
      <c r="X976" s="203"/>
      <c r="Y976" s="204"/>
      <c r="Z976" s="192"/>
      <c r="AA976" s="209" t="s">
        <v>118</v>
      </c>
      <c r="AB976" s="209" t="s">
        <v>117</v>
      </c>
      <c r="AC976" s="204" t="s">
        <v>26</v>
      </c>
      <c r="AD976" s="192"/>
      <c r="AE976" s="203"/>
      <c r="AF976" s="203"/>
      <c r="AG976" s="204"/>
      <c r="AH976" s="193"/>
      <c r="AI976" s="203"/>
      <c r="AJ976" s="203"/>
      <c r="AK976" s="375"/>
      <c r="AL976" s="348" t="s">
        <v>150</v>
      </c>
      <c r="AM976" s="354"/>
      <c r="AN976" s="354"/>
      <c r="AO976" s="354">
        <f>IF(SUM(P970:P978)=SUM(AA970:AA978), 0, SUM(P970:P978)-SUM(AA970:AA978))</f>
        <v>0</v>
      </c>
      <c r="AP976" s="354"/>
      <c r="AQ976" s="350">
        <f>AM976+AN976+AO976+AP976</f>
        <v>0</v>
      </c>
      <c r="AR976" s="769"/>
      <c r="AS976" s="769"/>
      <c r="AT976" s="769"/>
      <c r="BM976" s="335"/>
    </row>
    <row r="977" spans="1:65" ht="22.25" customHeight="1">
      <c r="A977" s="181">
        <f t="shared" si="333"/>
        <v>45292</v>
      </c>
      <c r="B977" s="486"/>
      <c r="C977" s="489" t="s">
        <v>158</v>
      </c>
      <c r="D977" s="522" t="e">
        <f>D975+1</f>
        <v>#NUM!</v>
      </c>
      <c r="E977" s="211" t="e">
        <f>DATE(YEAR(E976),MONTH(E976),DAY(E976)+1)</f>
        <v>#NUM!</v>
      </c>
      <c r="F977" s="227" t="e">
        <f t="shared" si="334"/>
        <v>#NUM!</v>
      </c>
      <c r="G977" s="228" t="e">
        <f t="shared" si="335"/>
        <v>#NUM!</v>
      </c>
      <c r="H977" s="227" t="e">
        <f t="shared" si="336"/>
        <v>#NUM!</v>
      </c>
      <c r="I977" s="231">
        <f>IF(J976&lt;13,J976,"")</f>
        <v>3</v>
      </c>
      <c r="J977" s="230">
        <f>J978+3</f>
        <v>9</v>
      </c>
      <c r="K977" s="501" t="str">
        <f t="shared" si="337"/>
        <v/>
      </c>
      <c r="L977" s="471"/>
      <c r="M977" s="473" t="e">
        <f ca="1">SUM(J970-E978)&amp;" Tage"</f>
        <v>#NUM!</v>
      </c>
      <c r="N977" s="216"/>
      <c r="O977" s="188"/>
      <c r="P977" s="188"/>
      <c r="Q977" s="217"/>
      <c r="R977" s="189"/>
      <c r="S977" s="190"/>
      <c r="T977" s="190"/>
      <c r="U977" s="191"/>
      <c r="V977" s="192"/>
      <c r="W977" s="190"/>
      <c r="X977" s="190"/>
      <c r="Y977" s="191"/>
      <c r="Z977" s="192"/>
      <c r="AA977" s="190"/>
      <c r="AB977" s="190"/>
      <c r="AC977" s="191"/>
      <c r="AD977" s="192"/>
      <c r="AE977" s="190"/>
      <c r="AF977" s="190"/>
      <c r="AG977" s="191"/>
      <c r="AH977" s="193"/>
      <c r="AI977" s="190"/>
      <c r="AJ977" s="190"/>
      <c r="AK977" s="374"/>
      <c r="AL977" s="348"/>
      <c r="AM977" s="354"/>
      <c r="AN977" s="354"/>
      <c r="AO977" s="354"/>
      <c r="AP977" s="354"/>
      <c r="AQ977" s="350"/>
      <c r="AR977" s="769"/>
      <c r="AS977" s="769"/>
      <c r="AT977" s="769"/>
      <c r="BM977" s="335"/>
    </row>
    <row r="978" spans="1:65" ht="22.25" customHeight="1">
      <c r="A978" s="181">
        <f t="shared" si="333"/>
        <v>45292</v>
      </c>
      <c r="B978" s="485"/>
      <c r="C978" s="490"/>
      <c r="D978" s="521"/>
      <c r="E978" s="218" t="e">
        <f>DATE(YEAR(E977),MONTH(E977)+3,DAY(E977)-1)</f>
        <v>#NUM!</v>
      </c>
      <c r="F978" s="227" t="e">
        <f t="shared" si="334"/>
        <v>#NUM!</v>
      </c>
      <c r="G978" s="228" t="e">
        <f t="shared" si="335"/>
        <v>#NUM!</v>
      </c>
      <c r="H978" s="227" t="e">
        <f t="shared" si="336"/>
        <v>#NUM!</v>
      </c>
      <c r="I978" s="231">
        <f>IF(J975&lt;13,J975,"")</f>
        <v>0</v>
      </c>
      <c r="J978" s="230">
        <f>J976+3</f>
        <v>6</v>
      </c>
      <c r="K978" s="501" t="str">
        <f t="shared" si="337"/>
        <v>+Inflat.-P</v>
      </c>
      <c r="L978" s="508" t="e">
        <f>IF(M969="Stufe A",IF(AND(L970="Auswahl treffen",D977&gt;=0,D977&lt;=1000),J969,IF(AND(L970="Vermögend und ambulant",D977&gt;8,D977&lt;=1000),130,IF(AND(L970="Vermögend und ambulant",D977&gt;4,D977&lt;=8),158,IF(AND(L970="Vermögend und ambulant",D977&gt;2,D977&lt;=4),192,IF(AND(L970="Vermögend und ambulant",D977&gt;1,D977&lt;=2),208,IF(AND(L970="Vermögend und ambulant",D977&gt;0,D977&lt;=1),298,IF(AND(L970="Vermögend und stationär",D977&gt;8,D977&lt;=1000),78,IF(AND(L970="Vermögend und stationär",D977&gt;4,D977&lt;=8),91,IF(AND(L970="Vermögend und stationär",D977&gt;2,D977&lt;=4),140,IF(AND(L970="Vermögend und stationär",D977&gt;1,D977&lt;=2),158,IF(AND(L970="Vermögend und stationär",D977&gt;0,D977&lt;=1),200,IF(AND(L970="Mittellos und ambulant",D977&gt;8,D977&lt;=1000),105,IF(AND(L970="Mittellos und ambulant",D977&gt;4,D977&lt;=8),122,IF(AND(L970="Mittellos und ambulant",D977&gt;2,D977&lt;=4),151,IF(AND(L970="Mittellos und ambulant",D977&gt;1,D977&lt;=2),170,IF(AND(L970="Mittellos und ambulant",D977&gt;0,D977&lt;=1),208,IF(AND(L970="Mittellos und stationär",D977&gt;8,D977&lt;=1000),62,IF(AND(L970="Mittellos und stationär",D977&gt;4,D977&lt;=8),87,IF(AND(L970="Mittellos und stationär",D977&gt;2,D977&lt;=4),124,IF(AND(L970="Mittellos und stationär",D977&gt;1,D977&lt;=2),129,IF(AND(L970="Mittellos und stationär",D977&gt;0,D977&lt;=1),194,""))))))))))))))))))))),IF(M969="Stufe B",IF(AND(L970="Auswahl treffen",D977&gt;=0,D977&lt;=1000),J969,IF(AND(L970="Vermögend und ambulant",D977&gt;8,D977&lt;=1000),161,IF(AND(L970="Vermögend und ambulant",D977&gt;4,D977&lt;=8),196,IF(AND(L970="Vermögend und ambulant",D977&gt;2,D977&lt;=4),238,IF(AND(L970="Vermögend und ambulant",D977&gt;1,D977&lt;=2),258,IF(AND(L970="Vermögend und ambulant",D977&gt;0,D977&lt;=1),370,IF(AND(L970="Vermögend und stationär",D977&gt;8,D977&lt;=1000),96,IF(AND(L970="Vermögend und stationär",D977&gt;4,D977&lt;=8),113,IF(AND(L970="Vermögend und stationär",D977&gt;2,D977&lt;=4),174,IF(AND(L970="Vermögend und stationär",D977&gt;1,D977&lt;=2),196,IF(AND(L970="Vermögend und stationär",D977&gt;0,D977&lt;=1),249,IF(AND(L970="Mittellos und ambulant",D977&gt;8,D977&lt;=1000),130,IF(AND(L970="Mittellos und ambulant",D977&gt;4,D977&lt;=8),151,IF(AND(L970="Mittellos und ambulant",D977&gt;2,D977&lt;=4),188,IF(AND(L970="Mittellos und ambulant",D977&gt;1,D977&lt;=2),211,IF(AND(L970="Mittellos und ambulant",D977&gt;0,D977&lt;=1),258,IF(AND(L970="Mittellos und stationär",D977&gt;8,D977&lt;=1000),78,IF(AND(L970="Mittellos und stationär",D977&gt;4,D977&lt;=8),107,IF(AND(L970="Mittellos und stationär",D977&gt;2,D977&lt;=4),154,IF(AND(L970="Mittellos und stationär",D977&gt;1,D977&lt;=2),158,IF(AND(L970="Mittellos und stationär",D977&gt;0,D977&lt;=1),241,""))))))))))))))))))))),IF(M969="Stufe C",IF(AND(L970="Auswahl treffen",D977&gt;=0,D977&lt;=1000),J969,IF(AND(L970="Vermögend und ambulant",D977&gt;8,D977&lt;=1000),211,IF(AND(L970="Vermögend und ambulant",D977&gt;4,D977&lt;=8),257,IF(AND(L970="Vermögend und ambulant",D977&gt;2,D977&lt;=4),312,IF(AND(L970="Vermögend und ambulant",D977&gt;1,D977&lt;=2),339,IF(AND(L970="Vermögend und ambulant",D977&gt;0,D977&lt;=1),486,IF(AND(L970="Vermögend und stationär",D977&gt;8,D977&lt;=1000),127,IF(AND(L970="Vermögend und stationär",D977&gt;4,D977&lt;=8),149,IF(AND(L970="Vermögend und stationär",D977&gt;2,D977&lt;=4),229,IF(AND(L970="Vermögend und stationär",D977&gt;1,D977&lt;=2),257,IF(AND(L970="Vermögend und stationär",D977&gt;0,D977&lt;=1),327,IF(AND(L970="Mittellos und ambulant",D977&gt;8,D977&lt;=1000),171,IF(AND(L970="Mittellos und ambulant",D977&gt;4,D977&lt;=8),198,IF(AND(L970="Mittellos und ambulant",D977&gt;2,D977&lt;=4),246,IF(AND(L970="Mittellos und ambulant",D977&gt;1,D977&lt;=2),277,IF(AND(L970="Mittellos und ambulant",D977&gt;0,D977&lt;=1),339,IF(AND(L970="Mittellos und stationär",D977&gt;8,D977&lt;=1000),102,IF(AND(L970="Mittellos und stationär",D977&gt;4,D977&lt;=8),141,IF(AND(L970="Mittellos und stationär",D977&gt;2,D977&lt;=4),202,IF(AND(L970="Mittellos und stationär",D977&gt;1,D977&lt;=2),208,IF(AND(L970="Mittellos und stationär",D977&gt;0,D977&lt;=1),317,""))))))))))))))))))))),"")))*3+(J969*90)</f>
        <v>#NUM!</v>
      </c>
      <c r="M978" s="507" t="str">
        <f>CONCATENATE(K978, K977)</f>
        <v>+Inflat.-P</v>
      </c>
      <c r="N978" s="216"/>
      <c r="O978" s="188"/>
      <c r="P978" s="188"/>
      <c r="Q978" s="217" t="s">
        <v>118</v>
      </c>
      <c r="R978" s="189"/>
      <c r="S978" s="190"/>
      <c r="T978" s="190"/>
      <c r="U978" s="191"/>
      <c r="V978" s="192"/>
      <c r="W978" s="190"/>
      <c r="X978" s="190"/>
      <c r="Y978" s="191"/>
      <c r="Z978" s="192"/>
      <c r="AA978" s="190"/>
      <c r="AB978" s="190"/>
      <c r="AC978" s="191"/>
      <c r="AD978" s="192"/>
      <c r="AE978" s="190" t="s">
        <v>118</v>
      </c>
      <c r="AF978" s="190" t="s">
        <v>117</v>
      </c>
      <c r="AG978" s="191" t="s">
        <v>26</v>
      </c>
      <c r="AH978" s="193"/>
      <c r="AI978" s="190" t="s">
        <v>118</v>
      </c>
      <c r="AJ978" s="190" t="s">
        <v>117</v>
      </c>
      <c r="AK978" s="374" t="s">
        <v>26</v>
      </c>
      <c r="AL978" s="348" t="s">
        <v>151</v>
      </c>
      <c r="AM978" s="354"/>
      <c r="AN978" s="354"/>
      <c r="AO978" s="354"/>
      <c r="AP978" s="354">
        <f>IF(SUM(Q970:Q978)=SUM(AE970:AE978,AI970:AI978), 0, SUM(Q970:Q978)-SUM(AE970:AE978,AI970:AI978))</f>
        <v>0</v>
      </c>
      <c r="AQ978" s="350">
        <f>AM978+AN978+AO978+AP978</f>
        <v>0</v>
      </c>
      <c r="AR978" s="769"/>
      <c r="AS978" s="769"/>
      <c r="AT978" s="769"/>
      <c r="BM978" s="335"/>
    </row>
    <row r="979" spans="1:65" ht="22" customHeight="1">
      <c r="A979" s="181">
        <f t="shared" si="333"/>
        <v>45292</v>
      </c>
      <c r="B979" s="232" t="s">
        <v>74</v>
      </c>
      <c r="C979" s="233" t="s">
        <v>75</v>
      </c>
      <c r="D979" s="234" t="s">
        <v>76</v>
      </c>
      <c r="E979" s="235" t="s">
        <v>11</v>
      </c>
      <c r="F979" s="235" t="s">
        <v>4</v>
      </c>
      <c r="G979" s="235" t="s">
        <v>5</v>
      </c>
      <c r="H979" s="235" t="s">
        <v>6</v>
      </c>
      <c r="I979" s="236" t="s">
        <v>77</v>
      </c>
      <c r="J979" s="306"/>
      <c r="K979" s="506" t="str">
        <f t="shared" si="337"/>
        <v/>
      </c>
      <c r="L979" s="306" t="str">
        <f>IFERROR(VLOOKUP(B980,'Aktuelle Einnahmen'!A2:J104,10,0),"")</f>
        <v/>
      </c>
      <c r="M979" s="510" t="str">
        <f>M969</f>
        <v>Stufe C</v>
      </c>
      <c r="N979" s="237"/>
      <c r="O979" s="238"/>
      <c r="P979" s="238"/>
      <c r="Q979" s="239"/>
      <c r="R979" s="240"/>
      <c r="S979" s="241"/>
      <c r="T979" s="241"/>
      <c r="U979" s="242"/>
      <c r="V979" s="243"/>
      <c r="W979" s="241"/>
      <c r="X979" s="241"/>
      <c r="Y979" s="242"/>
      <c r="Z979" s="243"/>
      <c r="AA979" s="241"/>
      <c r="AB979" s="241"/>
      <c r="AC979" s="242"/>
      <c r="AD979" s="243"/>
      <c r="AE979" s="241"/>
      <c r="AF979" s="241"/>
      <c r="AG979" s="242"/>
      <c r="AH979" s="240"/>
      <c r="AI979" s="241"/>
      <c r="AJ979" s="241"/>
      <c r="AK979" s="377"/>
      <c r="AL979" s="347"/>
      <c r="AM979" s="353"/>
      <c r="AN979" s="353"/>
      <c r="AO979" s="353"/>
      <c r="AP979" s="353"/>
      <c r="AQ979" s="349"/>
      <c r="AR979" s="768"/>
      <c r="AS979" s="768"/>
      <c r="AT979" s="768"/>
      <c r="BM979" s="335"/>
    </row>
    <row r="980" spans="1:65" ht="23" customHeight="1">
      <c r="A980" s="181">
        <f t="shared" si="333"/>
        <v>45292</v>
      </c>
      <c r="B980" s="182">
        <v>98</v>
      </c>
      <c r="C980" s="245">
        <f>IFERROR(VLOOKUP($B980,'Aktuelle Einnahmen'!A2:G104,3,0),"")</f>
        <v>0</v>
      </c>
      <c r="D980" s="246">
        <f>IFERROR(VLOOKUP($B980,'Aktuelle Einnahmen'!A2:G104,2,0),"")</f>
        <v>0</v>
      </c>
      <c r="E980" s="247">
        <f>IFERROR(VLOOKUP($B980,'Aktuelle Einnahmen'!A2:G104,4,0),"")</f>
        <v>0</v>
      </c>
      <c r="F980" s="94">
        <f>IFERROR(VLOOKUP($B980,'Aktuelle Einnahmen'!A2:G104,5,0),"")</f>
        <v>0</v>
      </c>
      <c r="G980" s="94">
        <f>IFERROR(VLOOKUP($B980,'Aktuelle Einnahmen'!A2:G104,6,0),"")</f>
        <v>0</v>
      </c>
      <c r="H980" s="94">
        <f>IFERROR(VLOOKUP($B980,'Aktuelle Einnahmen'!A2:G104,7,0),"")</f>
        <v>0</v>
      </c>
      <c r="I980" s="186" t="e">
        <f>DATE(H980,G980,F980)</f>
        <v>#NUM!</v>
      </c>
      <c r="J980" s="472">
        <f ca="1">J970</f>
        <v>45475</v>
      </c>
      <c r="K980" s="501" t="str">
        <f t="shared" si="337"/>
        <v>+Inflat.-P</v>
      </c>
      <c r="L980" s="1262" t="str">
        <f>IFERROR(VLOOKUP(B980,'Aktuelle Einnahmen'!A42:I144,9,0),"")</f>
        <v>Auswahl treffen</v>
      </c>
      <c r="M980" s="1263"/>
      <c r="N980" s="261"/>
      <c r="O980" s="261"/>
      <c r="P980" s="261"/>
      <c r="Q980" s="261"/>
      <c r="R980" s="189"/>
      <c r="S980" s="190"/>
      <c r="T980" s="190"/>
      <c r="U980" s="191"/>
      <c r="V980" s="192"/>
      <c r="W980" s="190"/>
      <c r="X980" s="190"/>
      <c r="Y980" s="191"/>
      <c r="Z980" s="192"/>
      <c r="AA980" s="190"/>
      <c r="AB980" s="190"/>
      <c r="AC980" s="191"/>
      <c r="AD980" s="192"/>
      <c r="AE980" s="190"/>
      <c r="AF980" s="190"/>
      <c r="AG980" s="191"/>
      <c r="AH980" s="193"/>
      <c r="AI980" s="190"/>
      <c r="AJ980" s="190"/>
      <c r="AK980" s="374"/>
      <c r="AL980" s="348"/>
      <c r="AM980" s="354"/>
      <c r="AN980" s="354"/>
      <c r="AO980" s="354"/>
      <c r="AP980" s="354"/>
      <c r="AQ980" s="350"/>
      <c r="AR980" s="769"/>
      <c r="AS980" s="769"/>
      <c r="AT980" s="769"/>
      <c r="BM980" s="335"/>
    </row>
    <row r="981" spans="1:65" ht="22.25" customHeight="1">
      <c r="A981" s="181">
        <f t="shared" si="333"/>
        <v>45292</v>
      </c>
      <c r="B981" s="484" t="e">
        <f>DAY(I980)</f>
        <v>#NUM!</v>
      </c>
      <c r="C981" s="489" t="s">
        <v>158</v>
      </c>
      <c r="D981" s="520" t="e">
        <f>(I981*4)+J981/3+1</f>
        <v>#NUM!</v>
      </c>
      <c r="E981" s="194" t="e">
        <f>J983+1</f>
        <v>#NUM!</v>
      </c>
      <c r="F981" s="195" t="e">
        <f t="shared" ref="F981:F988" si="338">DAY(E981)</f>
        <v>#NUM!</v>
      </c>
      <c r="G981" s="196" t="e">
        <f t="shared" ref="G981:G988" si="339">MONTH(E981)</f>
        <v>#NUM!</v>
      </c>
      <c r="H981" s="195" t="e">
        <f t="shared" ref="H981:H988" si="340">YEAR(E981)</f>
        <v>#NUM!</v>
      </c>
      <c r="I981" s="197" t="e">
        <f>H981-(H980+2000)</f>
        <v>#NUM!</v>
      </c>
      <c r="J981" s="198" t="e">
        <f>G981-G980</f>
        <v>#NUM!</v>
      </c>
      <c r="K981" s="506" t="str">
        <f>L979</f>
        <v/>
      </c>
      <c r="L981" s="469"/>
      <c r="M981" s="473" t="e">
        <f ca="1">SUM(J980-E982)&amp;" Tage"</f>
        <v>#NUM!</v>
      </c>
      <c r="N981" s="206"/>
      <c r="O981" s="201"/>
      <c r="P981" s="201"/>
      <c r="Q981" s="202"/>
      <c r="R981" s="189"/>
      <c r="S981" s="203"/>
      <c r="T981" s="203"/>
      <c r="U981" s="204"/>
      <c r="V981" s="192"/>
      <c r="W981" s="203"/>
      <c r="X981" s="203"/>
      <c r="Y981" s="204"/>
      <c r="Z981" s="192"/>
      <c r="AA981" s="203"/>
      <c r="AB981" s="203"/>
      <c r="AC981" s="204"/>
      <c r="AD981" s="192"/>
      <c r="AE981" s="203"/>
      <c r="AF981" s="203"/>
      <c r="AG981" s="204"/>
      <c r="AH981" s="193"/>
      <c r="AI981" s="203"/>
      <c r="AJ981" s="203"/>
      <c r="AK981" s="375"/>
      <c r="AL981" s="348"/>
      <c r="AM981" s="354"/>
      <c r="AN981" s="354"/>
      <c r="AO981" s="354"/>
      <c r="AP981" s="354"/>
      <c r="AQ981" s="350"/>
      <c r="AR981" s="769"/>
      <c r="AS981" s="769"/>
      <c r="AT981" s="769"/>
      <c r="BM981" s="335"/>
    </row>
    <row r="982" spans="1:65" ht="22.25" customHeight="1">
      <c r="A982" s="181">
        <f t="shared" si="333"/>
        <v>45292</v>
      </c>
      <c r="B982" s="485"/>
      <c r="C982" s="490"/>
      <c r="D982" s="521"/>
      <c r="E982" s="194" t="e">
        <f>DATE(YEAR(E981),MONTH(E981)+3,DAY(E981)-1)</f>
        <v>#NUM!</v>
      </c>
      <c r="F982" s="195" t="e">
        <f t="shared" si="338"/>
        <v>#NUM!</v>
      </c>
      <c r="G982" s="196" t="e">
        <f t="shared" si="339"/>
        <v>#NUM!</v>
      </c>
      <c r="H982" s="195" t="e">
        <f t="shared" si="340"/>
        <v>#NUM!</v>
      </c>
      <c r="I982" s="244">
        <v>-1</v>
      </c>
      <c r="J982" s="198" t="e">
        <f>F981-F980</f>
        <v>#NUM!</v>
      </c>
      <c r="K982" s="501" t="str">
        <f t="shared" si="337"/>
        <v>+Inflat.-P</v>
      </c>
      <c r="L982" s="511" t="e">
        <f>IF(M979="Stufe A",IF(AND(L980="Auswahl treffen",D981&gt;=0,D981&lt;=1000),J979,IF(AND(L980="Vermögend und ambulant",D981&gt;8,D981&lt;=1000),130,IF(AND(L980="Vermögend und ambulant",D981&gt;4,D981&lt;=8),158,IF(AND(L980="Vermögend und ambulant",D981&gt;2,D981&lt;=4),192,IF(AND(L980="Vermögend und ambulant",D981&gt;1,D981&lt;=2),208,IF(AND(L980="Vermögend und ambulant",D981&gt;0,D981&lt;=1),298,IF(AND(L980="Vermögend und stationär",D981&gt;8,D981&lt;=1000),78,IF(AND(L980="Vermögend und stationär",D981&gt;4,D981&lt;=8),91,IF(AND(L980="Vermögend und stationär",D981&gt;2,D981&lt;=4),140,IF(AND(L980="Vermögend und stationär",D981&gt;1,D981&lt;=2),158,IF(AND(L980="Vermögend und stationär",D981&gt;0,D981&lt;=1),200,IF(AND(L980="Mittellos und ambulant",D981&gt;8,D981&lt;=1000),105,IF(AND(L980="Mittellos und ambulant",D981&gt;4,D981&lt;=8),122,IF(AND(L980="Mittellos und ambulant",D981&gt;2,D981&lt;=4),151,IF(AND(L980="Mittellos und ambulant",D981&gt;1,D981&lt;=2),170,IF(AND(L980="Mittellos und ambulant",D981&gt;0,D981&lt;=1),208,IF(AND(L980="Mittellos und stationär",D981&gt;8,D981&lt;=1000),62,IF(AND(L980="Mittellos und stationär",D981&gt;4,D981&lt;=8),87,IF(AND(L980="Mittellos und stationär",D981&gt;2,D981&lt;=4),124,IF(AND(L980="Mittellos und stationär",D981&gt;1,D981&lt;=2),129,IF(AND(L980="Mittellos und stationär",D981&gt;0,D981&lt;=1),194,""))))))))))))))))))))),IF(M979="Stufe B",IF(AND(L980="Auswahl treffen",D981&gt;=0,D981&lt;=1000),J979,IF(AND(L980="Vermögend und ambulant",D981&gt;8,D981&lt;=1000),161,IF(AND(L980="Vermögend und ambulant",D981&gt;4,D981&lt;=8),196,IF(AND(L980="Vermögend und ambulant",D981&gt;2,D981&lt;=4),238,IF(AND(L980="Vermögend und ambulant",D981&gt;1,D981&lt;=2),258,IF(AND(L980="Vermögend und ambulant",D981&gt;0,D981&lt;=1),370,IF(AND(L980="Vermögend und stationär",D981&gt;8,D981&lt;=1000),96,IF(AND(L980="Vermögend und stationär",D981&gt;4,D981&lt;=8),113,IF(AND(L980="Vermögend und stationär",D981&gt;2,D981&lt;=4),174,IF(AND(L980="Vermögend und stationär",D981&gt;1,D981&lt;=2),196,IF(AND(L980="Vermögend und stationär",D981&gt;0,D981&lt;=1),249,IF(AND(L980="Mittellos und ambulant",D981&gt;8,D981&lt;=1000),130,IF(AND(L980="Mittellos und ambulant",D981&gt;4,D981&lt;=8),151,IF(AND(L980="Mittellos und ambulant",D981&gt;2,D981&lt;=4),188,IF(AND(L980="Mittellos und ambulant",D981&gt;1,D981&lt;=2),211,IF(AND(L980="Mittellos und ambulant",D981&gt;0,D981&lt;=1),258,IF(AND(L980="Mittellos und stationär",D981&gt;8,D981&lt;=1000),78,IF(AND(L980="Mittellos und stationär",D981&gt;4,D981&lt;=8),107,IF(AND(L980="Mittellos und stationär",D981&gt;2,D981&lt;=4),154,IF(AND(L980="Mittellos und stationär",D981&gt;1,D981&lt;=2),158,IF(AND(L980="Mittellos und stationär",D981&gt;0,D981&lt;=1),241,""))))))))))))))))))))),IF(M979="Stufe C",IF(AND(L980="Auswahl treffen",D981&gt;=0,D981&lt;=1000),J979,IF(AND(L980="Vermögend und ambulant",D981&gt;8,D981&lt;=1000),211,IF(AND(L980="Vermögend und ambulant",D981&gt;4,D981&lt;=8),257,IF(AND(L980="Vermögend und ambulant",D981&gt;2,D981&lt;=4),312,IF(AND(L980="Vermögend und ambulant",D981&gt;1,D981&lt;=2),339,IF(AND(L980="Vermögend und ambulant",D981&gt;0,D981&lt;=1),486,IF(AND(L980="Vermögend und stationär",D981&gt;8,D981&lt;=1000),127,IF(AND(L980="Vermögend und stationär",D981&gt;4,D981&lt;=8),149,IF(AND(L980="Vermögend und stationär",D981&gt;2,D981&lt;=4),229,IF(AND(L980="Vermögend und stationär",D981&gt;1,D981&lt;=2),257,IF(AND(L980="Vermögend und stationär",D981&gt;0,D981&lt;=1),327,IF(AND(L980="Mittellos und ambulant",D981&gt;8,D981&lt;=1000),171,IF(AND(L980="Mittellos und ambulant",D981&gt;4,D981&lt;=8),198,IF(AND(L980="Mittellos und ambulant",D981&gt;2,D981&lt;=4),246,IF(AND(L980="Mittellos und ambulant",D981&gt;1,D981&lt;=2),277,IF(AND(L980="Mittellos und ambulant",D981&gt;0,D981&lt;=1),339,IF(AND(L980="Mittellos und stationär",D981&gt;8,D981&lt;=1000),102,IF(AND(L980="Mittellos und stationär",D981&gt;4,D981&lt;=8),141,IF(AND(L980="Mittellos und stationär",D981&gt;2,D981&lt;=4),202,IF(AND(L980="Mittellos und stationär",D981&gt;1,D981&lt;=2),208,IF(AND(L980="Mittellos und stationär",D981&gt;0,D981&lt;=1),317,""))))))))))))))))))))),"")))*3+(J979*90)</f>
        <v>#NUM!</v>
      </c>
      <c r="M982" s="507" t="str">
        <f>CONCATENATE(K982, K981)</f>
        <v>+Inflat.-P</v>
      </c>
      <c r="N982" s="206" t="s">
        <v>118</v>
      </c>
      <c r="O982" s="207"/>
      <c r="P982" s="207"/>
      <c r="Q982" s="208"/>
      <c r="R982" s="187"/>
      <c r="S982" s="209" t="s">
        <v>118</v>
      </c>
      <c r="T982" s="201" t="s">
        <v>117</v>
      </c>
      <c r="U982" s="210" t="s">
        <v>26</v>
      </c>
      <c r="V982" s="192"/>
      <c r="W982" s="203"/>
      <c r="X982" s="203"/>
      <c r="Y982" s="210"/>
      <c r="Z982" s="192"/>
      <c r="AA982" s="203"/>
      <c r="AB982" s="203"/>
      <c r="AC982" s="210"/>
      <c r="AD982" s="192"/>
      <c r="AE982" s="203"/>
      <c r="AF982" s="203"/>
      <c r="AG982" s="210"/>
      <c r="AH982" s="193"/>
      <c r="AI982" s="203"/>
      <c r="AJ982" s="203"/>
      <c r="AK982" s="376"/>
      <c r="AL982" s="348" t="s">
        <v>148</v>
      </c>
      <c r="AM982" s="354">
        <f>IF(SUM(N980:N988)=SUM(S980:S988), 0, SUM(N980:N988)-SUM(S980:S988))</f>
        <v>0</v>
      </c>
      <c r="AN982" s="354"/>
      <c r="AO982" s="354"/>
      <c r="AP982" s="354"/>
      <c r="AQ982" s="350">
        <f>AM982+AN982+AO982+AP982</f>
        <v>0</v>
      </c>
      <c r="AR982" s="769"/>
      <c r="AS982" s="769"/>
      <c r="AT982" s="769"/>
      <c r="BM982" s="335"/>
    </row>
    <row r="983" spans="1:65" ht="22.25" customHeight="1">
      <c r="A983" s="181">
        <f t="shared" si="333"/>
        <v>45292</v>
      </c>
      <c r="B983" s="484" t="e">
        <f>MONTH(I980)</f>
        <v>#NUM!</v>
      </c>
      <c r="C983" s="489" t="s">
        <v>158</v>
      </c>
      <c r="D983" s="522" t="e">
        <f>D981+1</f>
        <v>#NUM!</v>
      </c>
      <c r="E983" s="211" t="e">
        <f>DATE(YEAR(E982),MONTH(E982),DAY(E982)+1)</f>
        <v>#NUM!</v>
      </c>
      <c r="F983" s="212" t="e">
        <f t="shared" si="338"/>
        <v>#NUM!</v>
      </c>
      <c r="G983" s="213" t="e">
        <f t="shared" si="339"/>
        <v>#NUM!</v>
      </c>
      <c r="H983" s="212" t="e">
        <f t="shared" si="340"/>
        <v>#NUM!</v>
      </c>
      <c r="I983" s="214" t="str">
        <f>IF(D980&lt;&gt;0,"-1T","")</f>
        <v/>
      </c>
      <c r="J983" s="215" t="e">
        <f>DATE($B985,I984,$B981)</f>
        <v>#NUM!</v>
      </c>
      <c r="K983" s="506" t="str">
        <f t="shared" si="337"/>
        <v/>
      </c>
      <c r="L983" s="470"/>
      <c r="M983" s="473" t="e">
        <f ca="1">SUM(J980-E984)&amp;" Tage"</f>
        <v>#NUM!</v>
      </c>
      <c r="N983" s="216"/>
      <c r="O983" s="217"/>
      <c r="P983" s="188"/>
      <c r="Q983" s="217"/>
      <c r="R983" s="189"/>
      <c r="S983" s="190"/>
      <c r="T983" s="190"/>
      <c r="U983" s="191"/>
      <c r="V983" s="192"/>
      <c r="W983" s="190"/>
      <c r="X983" s="190"/>
      <c r="Y983" s="191"/>
      <c r="Z983" s="192"/>
      <c r="AA983" s="190"/>
      <c r="AB983" s="190"/>
      <c r="AC983" s="191"/>
      <c r="AD983" s="192"/>
      <c r="AE983" s="190"/>
      <c r="AF983" s="190"/>
      <c r="AG983" s="191"/>
      <c r="AH983" s="193"/>
      <c r="AI983" s="190"/>
      <c r="AJ983" s="190"/>
      <c r="AK983" s="374"/>
      <c r="AL983" s="348"/>
      <c r="AM983" s="354"/>
      <c r="AN983" s="354"/>
      <c r="AO983" s="354"/>
      <c r="AP983" s="354"/>
      <c r="AQ983" s="350"/>
      <c r="AR983" s="769"/>
      <c r="AS983" s="769"/>
      <c r="AT983" s="769"/>
      <c r="BM983" s="335"/>
    </row>
    <row r="984" spans="1:65" ht="22.25" customHeight="1">
      <c r="A984" s="181">
        <f t="shared" si="333"/>
        <v>45292</v>
      </c>
      <c r="B984" s="485"/>
      <c r="C984" s="490"/>
      <c r="D984" s="521"/>
      <c r="E984" s="218" t="e">
        <f>DATE(YEAR(E983),MONTH(E983)+3,DAY(E983)-1)</f>
        <v>#NUM!</v>
      </c>
      <c r="F984" s="212" t="e">
        <f t="shared" si="338"/>
        <v>#NUM!</v>
      </c>
      <c r="G984" s="213" t="e">
        <f t="shared" si="339"/>
        <v>#NUM!</v>
      </c>
      <c r="H984" s="212" t="e">
        <f t="shared" si="340"/>
        <v>#NUM!</v>
      </c>
      <c r="I984" s="219">
        <f>MAX(I985:I988)</f>
        <v>9</v>
      </c>
      <c r="J984" s="220" t="e">
        <f>DATE(YEAR(J983)+1,MONTH(J983),DAY(J983))</f>
        <v>#NUM!</v>
      </c>
      <c r="K984" s="501" t="str">
        <f t="shared" si="337"/>
        <v>+Inflat.-P</v>
      </c>
      <c r="L984" s="508" t="e">
        <f>IF(M979="Stufe A",IF(AND(L980="Auswahl treffen",D983&gt;=0,D983&lt;=1000),J979,IF(AND(L980="Vermögend und ambulant",D983&gt;8,D983&lt;=1000),130,IF(AND(L980="Vermögend und ambulant",D983&gt;4,D983&lt;=8),158,IF(AND(L980="Vermögend und ambulant",D983&gt;2,D983&lt;=4),192,IF(AND(L980="Vermögend und ambulant",D983&gt;1,D983&lt;=2),208,IF(AND(L980="Vermögend und ambulant",D983&gt;0,D983&lt;=1),298,IF(AND(L980="Vermögend und stationär",D983&gt;8,D983&lt;=1000),78,IF(AND(L980="Vermögend und stationär",D983&gt;4,D983&lt;=8),91,IF(AND(L980="Vermögend und stationär",D983&gt;2,D983&lt;=4),140,IF(AND(L980="Vermögend und stationär",D983&gt;1,D983&lt;=2),158,IF(AND(L980="Vermögend und stationär",D983&gt;0,D983&lt;=1),200,IF(AND(L980="Mittellos und ambulant",D983&gt;8,D983&lt;=1000),105,IF(AND(L980="Mittellos und ambulant",D983&gt;4,D983&lt;=8),122,IF(AND(L980="Mittellos und ambulant",D983&gt;2,D983&lt;=4),151,IF(AND(L980="Mittellos und ambulant",D983&gt;1,D983&lt;=2),170,IF(AND(L980="Mittellos und ambulant",D983&gt;0,D983&lt;=1),208,IF(AND(L980="Mittellos und stationär",D983&gt;8,D983&lt;=1000),62,IF(AND(L980="Mittellos und stationär",D983&gt;4,D983&lt;=8),87,IF(AND(L980="Mittellos und stationär",D983&gt;2,D983&lt;=4),124,IF(AND(L980="Mittellos und stationär",D983&gt;1,D983&lt;=2),129,IF(AND(L980="Mittellos und stationär",D983&gt;0,D983&lt;=1),194,""))))))))))))))))))))),IF(M979="Stufe B",IF(AND(L980="Auswahl treffen",D983&gt;=0,D983&lt;=1000),J979,IF(AND(L980="Vermögend und ambulant",D983&gt;8,D983&lt;=1000),161,IF(AND(L980="Vermögend und ambulant",D983&gt;4,D983&lt;=8),196,IF(AND(L980="Vermögend und ambulant",D983&gt;2,D983&lt;=4),238,IF(AND(L980="Vermögend und ambulant",D983&gt;1,D983&lt;=2),258,IF(AND(L980="Vermögend und ambulant",D983&gt;0,D983&lt;=1),370,IF(AND(L980="Vermögend und stationär",D983&gt;8,D983&lt;=1000),96,IF(AND(L980="Vermögend und stationär",D983&gt;4,D983&lt;=8),113,IF(AND(L980="Vermögend und stationär",D983&gt;2,D983&lt;=4),174,IF(AND(L980="Vermögend und stationär",D983&gt;1,D983&lt;=2),196,IF(AND(L980="Vermögend und stationär",D983&gt;0,D983&lt;=1),249,IF(AND(L980="Mittellos und ambulant",D983&gt;8,D983&lt;=1000),130,IF(AND(L980="Mittellos und ambulant",D983&gt;4,D983&lt;=8),151,IF(AND(L980="Mittellos und ambulant",D983&gt;2,D983&lt;=4),188,IF(AND(L980="Mittellos und ambulant",D983&gt;1,D983&lt;=2),211,IF(AND(L980="Mittellos und ambulant",D983&gt;0,D983&lt;=1),258,IF(AND(L980="Mittellos und stationär",D983&gt;8,D983&lt;=1000),78,IF(AND(L980="Mittellos und stationär",D983&gt;4,D983&lt;=8),107,IF(AND(L980="Mittellos und stationär",D983&gt;2,D983&lt;=4),154,IF(AND(L980="Mittellos und stationär",D983&gt;1,D983&lt;=2),158,IF(AND(L980="Mittellos und stationär",D983&gt;0,D983&lt;=1),241,""))))))))))))))))))))),IF(M979="Stufe C",IF(AND(L980="Auswahl treffen",D983&gt;=0,D983&lt;=1000),J979,IF(AND(L980="Vermögend und ambulant",D983&gt;8,D983&lt;=1000),211,IF(AND(L980="Vermögend und ambulant",D983&gt;4,D983&lt;=8),257,IF(AND(L980="Vermögend und ambulant",D983&gt;2,D983&lt;=4),312,IF(AND(L980="Vermögend und ambulant",D983&gt;1,D983&lt;=2),339,IF(AND(L980="Vermögend und ambulant",D983&gt;0,D983&lt;=1),486,IF(AND(L980="Vermögend und stationär",D983&gt;8,D983&lt;=1000),127,IF(AND(L980="Vermögend und stationär",D983&gt;4,D983&lt;=8),149,IF(AND(L980="Vermögend und stationär",D983&gt;2,D983&lt;=4),229,IF(AND(L980="Vermögend und stationär",D983&gt;1,D983&lt;=2),257,IF(AND(L980="Vermögend und stationär",D983&gt;0,D983&lt;=1),327,IF(AND(L980="Mittellos und ambulant",D983&gt;8,D983&lt;=1000),171,IF(AND(L980="Mittellos und ambulant",D983&gt;4,D983&lt;=8),198,IF(AND(L980="Mittellos und ambulant",D983&gt;2,D983&lt;=4),246,IF(AND(L980="Mittellos und ambulant",D983&gt;1,D983&lt;=2),277,IF(AND(L980="Mittellos und ambulant",D983&gt;0,D983&lt;=1),339,IF(AND(L980="Mittellos und stationär",D983&gt;8,D983&lt;=1000),102,IF(AND(L980="Mittellos und stationär",D983&gt;4,D983&lt;=8),141,IF(AND(L980="Mittellos und stationär",D983&gt;2,D983&lt;=4),202,IF(AND(L980="Mittellos und stationär",D983&gt;1,D983&lt;=2),208,IF(AND(L980="Mittellos und stationär",D983&gt;0,D983&lt;=1),317,""))))))))))))))))))))),"")))*3+(J979*90)</f>
        <v>#NUM!</v>
      </c>
      <c r="M984" s="507" t="str">
        <f>CONCATENATE(K984, K983)</f>
        <v>+Inflat.-P</v>
      </c>
      <c r="N984" s="216"/>
      <c r="O984" s="188" t="s">
        <v>118</v>
      </c>
      <c r="P984" s="188"/>
      <c r="Q984" s="221"/>
      <c r="R984" s="199"/>
      <c r="S984" s="190"/>
      <c r="T984" s="190"/>
      <c r="U984" s="191"/>
      <c r="V984" s="192"/>
      <c r="W984" s="222" t="s">
        <v>118</v>
      </c>
      <c r="X984" s="222" t="s">
        <v>117</v>
      </c>
      <c r="Y984" s="191" t="s">
        <v>26</v>
      </c>
      <c r="Z984" s="192"/>
      <c r="AA984" s="190"/>
      <c r="AB984" s="190"/>
      <c r="AC984" s="191"/>
      <c r="AD984" s="192"/>
      <c r="AE984" s="190"/>
      <c r="AF984" s="190"/>
      <c r="AG984" s="191"/>
      <c r="AH984" s="193"/>
      <c r="AI984" s="190"/>
      <c r="AJ984" s="190"/>
      <c r="AK984" s="374"/>
      <c r="AL984" s="348" t="s">
        <v>149</v>
      </c>
      <c r="AM984" s="354"/>
      <c r="AN984" s="354">
        <f>IF(SUM(O980:O988)=SUM(W980:W988), 0, SUM(O980:O988)-SUM(W980:W988))</f>
        <v>0</v>
      </c>
      <c r="AO984" s="354"/>
      <c r="AP984" s="354"/>
      <c r="AQ984" s="350">
        <f>AM984+AN984+AO984+AP984</f>
        <v>0</v>
      </c>
      <c r="AR984" s="769"/>
      <c r="AS984" s="769"/>
      <c r="AT984" s="769"/>
      <c r="BM984" s="335"/>
    </row>
    <row r="985" spans="1:65" ht="22.25" customHeight="1">
      <c r="A985" s="181">
        <f t="shared" si="333"/>
        <v>45292</v>
      </c>
      <c r="B985" s="484">
        <f>YEAR($A986)-1</f>
        <v>2023</v>
      </c>
      <c r="C985" s="489" t="s">
        <v>158</v>
      </c>
      <c r="D985" s="520" t="e">
        <f>D983+1</f>
        <v>#NUM!</v>
      </c>
      <c r="E985" s="194" t="e">
        <f>DATE(YEAR(E984),MONTH(E984),DAY(E984)+1)</f>
        <v>#NUM!</v>
      </c>
      <c r="F985" s="195" t="e">
        <f t="shared" si="338"/>
        <v>#NUM!</v>
      </c>
      <c r="G985" s="196" t="e">
        <f t="shared" si="339"/>
        <v>#NUM!</v>
      </c>
      <c r="H985" s="195" t="e">
        <f t="shared" si="340"/>
        <v>#NUM!</v>
      </c>
      <c r="I985" s="197">
        <f>IF(J987&lt;13,J987,"")</f>
        <v>9</v>
      </c>
      <c r="J985" s="224">
        <f>G980</f>
        <v>0</v>
      </c>
      <c r="K985" s="501" t="str">
        <f t="shared" si="337"/>
        <v/>
      </c>
      <c r="L985" s="471"/>
      <c r="M985" s="473" t="e">
        <f ca="1">SUM(J980-E986)&amp;" Tage"</f>
        <v>#NUM!</v>
      </c>
      <c r="N985" s="200"/>
      <c r="O985" s="201"/>
      <c r="P985" s="201"/>
      <c r="Q985" s="202"/>
      <c r="R985" s="189"/>
      <c r="S985" s="203"/>
      <c r="T985" s="203"/>
      <c r="U985" s="204"/>
      <c r="V985" s="192"/>
      <c r="W985" s="203"/>
      <c r="X985" s="203"/>
      <c r="Y985" s="204"/>
      <c r="Z985" s="192"/>
      <c r="AA985" s="203"/>
      <c r="AB985" s="203"/>
      <c r="AC985" s="204"/>
      <c r="AD985" s="192"/>
      <c r="AE985" s="203"/>
      <c r="AF985" s="203"/>
      <c r="AG985" s="204"/>
      <c r="AH985" s="193"/>
      <c r="AI985" s="203"/>
      <c r="AJ985" s="203"/>
      <c r="AK985" s="375"/>
      <c r="AL985" s="348"/>
      <c r="AM985" s="354"/>
      <c r="AN985" s="354"/>
      <c r="AO985" s="354"/>
      <c r="AP985" s="354"/>
      <c r="AQ985" s="350"/>
      <c r="AR985" s="769"/>
      <c r="AS985" s="769"/>
      <c r="AT985" s="769"/>
      <c r="BM985" s="335"/>
    </row>
    <row r="986" spans="1:65" ht="22.25" customHeight="1">
      <c r="A986" s="181">
        <f t="shared" si="333"/>
        <v>45292</v>
      </c>
      <c r="B986" s="485"/>
      <c r="C986" s="490"/>
      <c r="D986" s="521"/>
      <c r="E986" s="194" t="e">
        <f>DATE(YEAR(E985),MONTH(E985)+3,DAY(E985)-1)</f>
        <v>#NUM!</v>
      </c>
      <c r="F986" s="195" t="e">
        <f t="shared" si="338"/>
        <v>#NUM!</v>
      </c>
      <c r="G986" s="196" t="e">
        <f t="shared" si="339"/>
        <v>#NUM!</v>
      </c>
      <c r="H986" s="195" t="e">
        <f t="shared" si="340"/>
        <v>#NUM!</v>
      </c>
      <c r="I986" s="244">
        <f>IF(J988&lt;13,J988,"")</f>
        <v>6</v>
      </c>
      <c r="J986" s="224">
        <f>J985+3</f>
        <v>3</v>
      </c>
      <c r="K986" s="506" t="str">
        <f t="shared" si="337"/>
        <v>+Inflat.-P</v>
      </c>
      <c r="L986" s="511" t="e">
        <f>IF(M979="Stufe A",IF(AND(L980="Auswahl treffen",D985&gt;=0,D985&lt;=1000),J979,IF(AND(L980="Vermögend und ambulant",D985&gt;8,D985&lt;=1000),130,IF(AND(L980="Vermögend und ambulant",D985&gt;4,D985&lt;=8),158,IF(AND(L980="Vermögend und ambulant",D985&gt;2,D985&lt;=4),192,IF(AND(L980="Vermögend und ambulant",D985&gt;1,D985&lt;=2),208,IF(AND(L980="Vermögend und ambulant",D985&gt;0,D985&lt;=1),298,IF(AND(L980="Vermögend und stationär",D985&gt;8,D985&lt;=1000),78,IF(AND(L980="Vermögend und stationär",D985&gt;4,D985&lt;=8),91,IF(AND(L980="Vermögend und stationär",D985&gt;2,D985&lt;=4),140,IF(AND(L980="Vermögend und stationär",D985&gt;1,D985&lt;=2),158,IF(AND(L980="Vermögend und stationär",D985&gt;0,D985&lt;=1),200,IF(AND(L980="Mittellos und ambulant",D985&gt;8,D985&lt;=1000),105,IF(AND(L980="Mittellos und ambulant",D985&gt;4,D985&lt;=8),122,IF(AND(L980="Mittellos und ambulant",D985&gt;2,D985&lt;=4),151,IF(AND(L980="Mittellos und ambulant",D985&gt;1,D985&lt;=2),170,IF(AND(L980="Mittellos und ambulant",D985&gt;0,D985&lt;=1),208,IF(AND(L980="Mittellos und stationär",D985&gt;8,D985&lt;=1000),62,IF(AND(L980="Mittellos und stationär",D985&gt;4,D985&lt;=8),87,IF(AND(L980="Mittellos und stationär",D985&gt;2,D985&lt;=4),124,IF(AND(L980="Mittellos und stationär",D985&gt;1,D985&lt;=2),129,IF(AND(L980="Mittellos und stationär",D985&gt;0,D985&lt;=1),194,""))))))))))))))))))))),IF(M979="Stufe B",IF(AND(L980="Auswahl treffen",D985&gt;=0,D985&lt;=1000),J979,IF(AND(L980="Vermögend und ambulant",D985&gt;8,D985&lt;=1000),161,IF(AND(L980="Vermögend und ambulant",D985&gt;4,D985&lt;=8),196,IF(AND(L980="Vermögend und ambulant",D985&gt;2,D985&lt;=4),238,IF(AND(L980="Vermögend und ambulant",D985&gt;1,D985&lt;=2),258,IF(AND(L980="Vermögend und ambulant",D985&gt;0,D985&lt;=1),370,IF(AND(L980="Vermögend und stationär",D985&gt;8,D985&lt;=1000),96,IF(AND(L980="Vermögend und stationär",D985&gt;4,D985&lt;=8),113,IF(AND(L980="Vermögend und stationär",D985&gt;2,D985&lt;=4),174,IF(AND(L980="Vermögend und stationär",D985&gt;1,D985&lt;=2),196,IF(AND(L980="Vermögend und stationär",D985&gt;0,D985&lt;=1),249,IF(AND(L980="Mittellos und ambulant",D985&gt;8,D985&lt;=1000),130,IF(AND(L980="Mittellos und ambulant",D985&gt;4,D985&lt;=8),151,IF(AND(L980="Mittellos und ambulant",D985&gt;2,D985&lt;=4),188,IF(AND(L980="Mittellos und ambulant",D985&gt;1,D985&lt;=2),211,IF(AND(L980="Mittellos und ambulant",D985&gt;0,D985&lt;=1),258,IF(AND(L980="Mittellos und stationär",D985&gt;8,D985&lt;=1000),78,IF(AND(L980="Mittellos und stationär",D985&gt;4,D985&lt;=8),107,IF(AND(L980="Mittellos und stationär",D985&gt;2,D985&lt;=4),154,IF(AND(L980="Mittellos und stationär",D985&gt;1,D985&lt;=2),158,IF(AND(L980="Mittellos und stationär",D985&gt;0,D985&lt;=1),241,""))))))))))))))))))))),IF(M979="Stufe C",IF(AND(L980="Auswahl treffen",D985&gt;=0,D985&lt;=1000),J979,IF(AND(L980="Vermögend und ambulant",D985&gt;8,D985&lt;=1000),211,IF(AND(L980="Vermögend und ambulant",D985&gt;4,D985&lt;=8),257,IF(AND(L980="Vermögend und ambulant",D985&gt;2,D985&lt;=4),312,IF(AND(L980="Vermögend und ambulant",D985&gt;1,D985&lt;=2),339,IF(AND(L980="Vermögend und ambulant",D985&gt;0,D985&lt;=1),486,IF(AND(L980="Vermögend und stationär",D985&gt;8,D985&lt;=1000),127,IF(AND(L980="Vermögend und stationär",D985&gt;4,D985&lt;=8),149,IF(AND(L980="Vermögend und stationär",D985&gt;2,D985&lt;=4),229,IF(AND(L980="Vermögend und stationär",D985&gt;1,D985&lt;=2),257,IF(AND(L980="Vermögend und stationär",D985&gt;0,D985&lt;=1),327,IF(AND(L980="Mittellos und ambulant",D985&gt;8,D985&lt;=1000),171,IF(AND(L980="Mittellos und ambulant",D985&gt;4,D985&lt;=8),198,IF(AND(L980="Mittellos und ambulant",D985&gt;2,D985&lt;=4),246,IF(AND(L980="Mittellos und ambulant",D985&gt;1,D985&lt;=2),277,IF(AND(L980="Mittellos und ambulant",D985&gt;0,D985&lt;=1),339,IF(AND(L980="Mittellos und stationär",D985&gt;8,D985&lt;=1000),102,IF(AND(L980="Mittellos und stationär",D985&gt;4,D985&lt;=8),141,IF(AND(L980="Mittellos und stationär",D985&gt;2,D985&lt;=4),202,IF(AND(L980="Mittellos und stationär",D985&gt;1,D985&lt;=2),208,IF(AND(L980="Mittellos und stationär",D985&gt;0,D985&lt;=1),317,""))))))))))))))))))))),"")))*3+(J979*90)</f>
        <v>#NUM!</v>
      </c>
      <c r="M986" s="507" t="str">
        <f>CONCATENATE(K986, K985)</f>
        <v>+Inflat.-P</v>
      </c>
      <c r="N986" s="206"/>
      <c r="O986" s="207"/>
      <c r="P986" s="206" t="s">
        <v>118</v>
      </c>
      <c r="Q986" s="226"/>
      <c r="R986" s="189"/>
      <c r="S986" s="203"/>
      <c r="T986" s="203"/>
      <c r="U986" s="204"/>
      <c r="V986" s="192"/>
      <c r="W986" s="203"/>
      <c r="X986" s="203"/>
      <c r="Y986" s="204"/>
      <c r="Z986" s="192"/>
      <c r="AA986" s="209" t="s">
        <v>118</v>
      </c>
      <c r="AB986" s="209" t="s">
        <v>117</v>
      </c>
      <c r="AC986" s="204" t="s">
        <v>26</v>
      </c>
      <c r="AD986" s="192"/>
      <c r="AE986" s="203"/>
      <c r="AF986" s="203"/>
      <c r="AG986" s="204"/>
      <c r="AH986" s="193"/>
      <c r="AI986" s="203"/>
      <c r="AJ986" s="203"/>
      <c r="AK986" s="375"/>
      <c r="AL986" s="348" t="s">
        <v>150</v>
      </c>
      <c r="AM986" s="354"/>
      <c r="AN986" s="354"/>
      <c r="AO986" s="354">
        <f>IF(SUM(P980:P988)=SUM(AA980:AA988), 0, SUM(P980:P988)-SUM(AA980:AA988))</f>
        <v>0</v>
      </c>
      <c r="AP986" s="354"/>
      <c r="AQ986" s="350">
        <f>AM986+AN986+AO986+AP986</f>
        <v>0</v>
      </c>
      <c r="AR986" s="769"/>
      <c r="AS986" s="769"/>
      <c r="AT986" s="769"/>
      <c r="BM986" s="335"/>
    </row>
    <row r="987" spans="1:65" ht="22.25" customHeight="1">
      <c r="A987" s="181">
        <f t="shared" si="333"/>
        <v>45292</v>
      </c>
      <c r="B987" s="486"/>
      <c r="C987" s="489" t="s">
        <v>158</v>
      </c>
      <c r="D987" s="522" t="e">
        <f>D985+1</f>
        <v>#NUM!</v>
      </c>
      <c r="E987" s="211" t="e">
        <f>DATE(YEAR(E986),MONTH(E986),DAY(E986)+1)</f>
        <v>#NUM!</v>
      </c>
      <c r="F987" s="227" t="e">
        <f t="shared" si="338"/>
        <v>#NUM!</v>
      </c>
      <c r="G987" s="228" t="e">
        <f t="shared" si="339"/>
        <v>#NUM!</v>
      </c>
      <c r="H987" s="227" t="e">
        <f t="shared" si="340"/>
        <v>#NUM!</v>
      </c>
      <c r="I987" s="231">
        <f>IF(J986&lt;13,J986,"")</f>
        <v>3</v>
      </c>
      <c r="J987" s="230">
        <f>J988+3</f>
        <v>9</v>
      </c>
      <c r="K987" s="501" t="str">
        <f t="shared" si="337"/>
        <v/>
      </c>
      <c r="L987" s="471"/>
      <c r="M987" s="473" t="e">
        <f ca="1">SUM(J980-E988)&amp;" Tage"</f>
        <v>#NUM!</v>
      </c>
      <c r="N987" s="216"/>
      <c r="O987" s="188"/>
      <c r="P987" s="188"/>
      <c r="Q987" s="217"/>
      <c r="R987" s="189"/>
      <c r="S987" s="190"/>
      <c r="T987" s="190"/>
      <c r="U987" s="191"/>
      <c r="V987" s="192"/>
      <c r="W987" s="190"/>
      <c r="X987" s="190"/>
      <c r="Y987" s="191"/>
      <c r="Z987" s="192"/>
      <c r="AA987" s="190"/>
      <c r="AB987" s="190"/>
      <c r="AC987" s="191"/>
      <c r="AD987" s="192"/>
      <c r="AE987" s="190"/>
      <c r="AF987" s="190"/>
      <c r="AG987" s="191"/>
      <c r="AH987" s="193"/>
      <c r="AI987" s="190"/>
      <c r="AJ987" s="190"/>
      <c r="AK987" s="374"/>
      <c r="AL987" s="348"/>
      <c r="AM987" s="354"/>
      <c r="AN987" s="354"/>
      <c r="AO987" s="354"/>
      <c r="AP987" s="354"/>
      <c r="AQ987" s="350"/>
      <c r="AR987" s="769"/>
      <c r="AS987" s="769"/>
      <c r="AT987" s="769"/>
      <c r="BM987" s="335"/>
    </row>
    <row r="988" spans="1:65" ht="22.25" customHeight="1">
      <c r="A988" s="181">
        <f t="shared" si="333"/>
        <v>45292</v>
      </c>
      <c r="B988" s="485"/>
      <c r="C988" s="490"/>
      <c r="D988" s="521"/>
      <c r="E988" s="218" t="e">
        <f>DATE(YEAR(E987),MONTH(E987)+3,DAY(E987)-1)</f>
        <v>#NUM!</v>
      </c>
      <c r="F988" s="227" t="e">
        <f t="shared" si="338"/>
        <v>#NUM!</v>
      </c>
      <c r="G988" s="228" t="e">
        <f t="shared" si="339"/>
        <v>#NUM!</v>
      </c>
      <c r="H988" s="227" t="e">
        <f t="shared" si="340"/>
        <v>#NUM!</v>
      </c>
      <c r="I988" s="231">
        <f>IF(J985&lt;13,J985,"")</f>
        <v>0</v>
      </c>
      <c r="J988" s="230">
        <f>J986+3</f>
        <v>6</v>
      </c>
      <c r="K988" s="506" t="str">
        <f t="shared" si="337"/>
        <v>+Inflat.-P</v>
      </c>
      <c r="L988" s="508" t="e">
        <f>IF(M979="Stufe A",IF(AND(L980="Auswahl treffen",D987&gt;=0,D987&lt;=1000),J979,IF(AND(L980="Vermögend und ambulant",D987&gt;8,D987&lt;=1000),130,IF(AND(L980="Vermögend und ambulant",D987&gt;4,D987&lt;=8),158,IF(AND(L980="Vermögend und ambulant",D987&gt;2,D987&lt;=4),192,IF(AND(L980="Vermögend und ambulant",D987&gt;1,D987&lt;=2),208,IF(AND(L980="Vermögend und ambulant",D987&gt;0,D987&lt;=1),298,IF(AND(L980="Vermögend und stationär",D987&gt;8,D987&lt;=1000),78,IF(AND(L980="Vermögend und stationär",D987&gt;4,D987&lt;=8),91,IF(AND(L980="Vermögend und stationär",D987&gt;2,D987&lt;=4),140,IF(AND(L980="Vermögend und stationär",D987&gt;1,D987&lt;=2),158,IF(AND(L980="Vermögend und stationär",D987&gt;0,D987&lt;=1),200,IF(AND(L980="Mittellos und ambulant",D987&gt;8,D987&lt;=1000),105,IF(AND(L980="Mittellos und ambulant",D987&gt;4,D987&lt;=8),122,IF(AND(L980="Mittellos und ambulant",D987&gt;2,D987&lt;=4),151,IF(AND(L980="Mittellos und ambulant",D987&gt;1,D987&lt;=2),170,IF(AND(L980="Mittellos und ambulant",D987&gt;0,D987&lt;=1),208,IF(AND(L980="Mittellos und stationär",D987&gt;8,D987&lt;=1000),62,IF(AND(L980="Mittellos und stationär",D987&gt;4,D987&lt;=8),87,IF(AND(L980="Mittellos und stationär",D987&gt;2,D987&lt;=4),124,IF(AND(L980="Mittellos und stationär",D987&gt;1,D987&lt;=2),129,IF(AND(L980="Mittellos und stationär",D987&gt;0,D987&lt;=1),194,""))))))))))))))))))))),IF(M979="Stufe B",IF(AND(L980="Auswahl treffen",D987&gt;=0,D987&lt;=1000),J979,IF(AND(L980="Vermögend und ambulant",D987&gt;8,D987&lt;=1000),161,IF(AND(L980="Vermögend und ambulant",D987&gt;4,D987&lt;=8),196,IF(AND(L980="Vermögend und ambulant",D987&gt;2,D987&lt;=4),238,IF(AND(L980="Vermögend und ambulant",D987&gt;1,D987&lt;=2),258,IF(AND(L980="Vermögend und ambulant",D987&gt;0,D987&lt;=1),370,IF(AND(L980="Vermögend und stationär",D987&gt;8,D987&lt;=1000),96,IF(AND(L980="Vermögend und stationär",D987&gt;4,D987&lt;=8),113,IF(AND(L980="Vermögend und stationär",D987&gt;2,D987&lt;=4),174,IF(AND(L980="Vermögend und stationär",D987&gt;1,D987&lt;=2),196,IF(AND(L980="Vermögend und stationär",D987&gt;0,D987&lt;=1),249,IF(AND(L980="Mittellos und ambulant",D987&gt;8,D987&lt;=1000),130,IF(AND(L980="Mittellos und ambulant",D987&gt;4,D987&lt;=8),151,IF(AND(L980="Mittellos und ambulant",D987&gt;2,D987&lt;=4),188,IF(AND(L980="Mittellos und ambulant",D987&gt;1,D987&lt;=2),211,IF(AND(L980="Mittellos und ambulant",D987&gt;0,D987&lt;=1),258,IF(AND(L980="Mittellos und stationär",D987&gt;8,D987&lt;=1000),78,IF(AND(L980="Mittellos und stationär",D987&gt;4,D987&lt;=8),107,IF(AND(L980="Mittellos und stationär",D987&gt;2,D987&lt;=4),154,IF(AND(L980="Mittellos und stationär",D987&gt;1,D987&lt;=2),158,IF(AND(L980="Mittellos und stationär",D987&gt;0,D987&lt;=1),241,""))))))))))))))))))))),IF(M979="Stufe C",IF(AND(L980="Auswahl treffen",D987&gt;=0,D987&lt;=1000),J979,IF(AND(L980="Vermögend und ambulant",D987&gt;8,D987&lt;=1000),211,IF(AND(L980="Vermögend und ambulant",D987&gt;4,D987&lt;=8),257,IF(AND(L980="Vermögend und ambulant",D987&gt;2,D987&lt;=4),312,IF(AND(L980="Vermögend und ambulant",D987&gt;1,D987&lt;=2),339,IF(AND(L980="Vermögend und ambulant",D987&gt;0,D987&lt;=1),486,IF(AND(L980="Vermögend und stationär",D987&gt;8,D987&lt;=1000),127,IF(AND(L980="Vermögend und stationär",D987&gt;4,D987&lt;=8),149,IF(AND(L980="Vermögend und stationär",D987&gt;2,D987&lt;=4),229,IF(AND(L980="Vermögend und stationär",D987&gt;1,D987&lt;=2),257,IF(AND(L980="Vermögend und stationär",D987&gt;0,D987&lt;=1),327,IF(AND(L980="Mittellos und ambulant",D987&gt;8,D987&lt;=1000),171,IF(AND(L980="Mittellos und ambulant",D987&gt;4,D987&lt;=8),198,IF(AND(L980="Mittellos und ambulant",D987&gt;2,D987&lt;=4),246,IF(AND(L980="Mittellos und ambulant",D987&gt;1,D987&lt;=2),277,IF(AND(L980="Mittellos und ambulant",D987&gt;0,D987&lt;=1),339,IF(AND(L980="Mittellos und stationär",D987&gt;8,D987&lt;=1000),102,IF(AND(L980="Mittellos und stationär",D987&gt;4,D987&lt;=8),141,IF(AND(L980="Mittellos und stationär",D987&gt;2,D987&lt;=4),202,IF(AND(L980="Mittellos und stationär",D987&gt;1,D987&lt;=2),208,IF(AND(L980="Mittellos und stationär",D987&gt;0,D987&lt;=1),317,""))))))))))))))))))))),"")))*3+(J979*90)</f>
        <v>#NUM!</v>
      </c>
      <c r="M988" s="507" t="str">
        <f>CONCATENATE(K988, K987)</f>
        <v>+Inflat.-P</v>
      </c>
      <c r="N988" s="216"/>
      <c r="O988" s="188"/>
      <c r="P988" s="188"/>
      <c r="Q988" s="217" t="s">
        <v>118</v>
      </c>
      <c r="R988" s="189"/>
      <c r="S988" s="190"/>
      <c r="T988" s="190"/>
      <c r="U988" s="191"/>
      <c r="V988" s="192"/>
      <c r="W988" s="190"/>
      <c r="X988" s="190"/>
      <c r="Y988" s="191"/>
      <c r="Z988" s="192"/>
      <c r="AA988" s="190"/>
      <c r="AB988" s="190"/>
      <c r="AC988" s="191"/>
      <c r="AD988" s="192"/>
      <c r="AE988" s="190" t="s">
        <v>118</v>
      </c>
      <c r="AF988" s="190" t="s">
        <v>117</v>
      </c>
      <c r="AG988" s="191" t="s">
        <v>26</v>
      </c>
      <c r="AH988" s="193"/>
      <c r="AI988" s="190" t="s">
        <v>118</v>
      </c>
      <c r="AJ988" s="190" t="s">
        <v>117</v>
      </c>
      <c r="AK988" s="374" t="s">
        <v>26</v>
      </c>
      <c r="AL988" s="348" t="s">
        <v>151</v>
      </c>
      <c r="AM988" s="354"/>
      <c r="AN988" s="354"/>
      <c r="AO988" s="354"/>
      <c r="AP988" s="354">
        <f>IF(SUM(Q980:Q988)=SUM(AE980:AE988,AI980:AI988), 0, SUM(Q980:Q988)-SUM(AE980:AE988,AI980:AI988))</f>
        <v>0</v>
      </c>
      <c r="AQ988" s="350">
        <f>AM988+AN988+AO988+AP988</f>
        <v>0</v>
      </c>
      <c r="AR988" s="769"/>
      <c r="AS988" s="769"/>
      <c r="AT988" s="769"/>
      <c r="BM988" s="335"/>
    </row>
    <row r="989" spans="1:65" ht="22" customHeight="1">
      <c r="A989" s="181">
        <f t="shared" si="333"/>
        <v>45292</v>
      </c>
      <c r="B989" s="232" t="s">
        <v>74</v>
      </c>
      <c r="C989" s="233" t="s">
        <v>75</v>
      </c>
      <c r="D989" s="234" t="s">
        <v>76</v>
      </c>
      <c r="E989" s="235" t="s">
        <v>11</v>
      </c>
      <c r="F989" s="235" t="s">
        <v>4</v>
      </c>
      <c r="G989" s="235" t="s">
        <v>5</v>
      </c>
      <c r="H989" s="235" t="s">
        <v>6</v>
      </c>
      <c r="I989" s="236" t="s">
        <v>77</v>
      </c>
      <c r="J989" s="306"/>
      <c r="K989" s="501" t="str">
        <f t="shared" si="337"/>
        <v/>
      </c>
      <c r="L989" s="306" t="str">
        <f>IFERROR(VLOOKUP(B990,'Aktuelle Einnahmen'!A2:J104,10,0),"")</f>
        <v/>
      </c>
      <c r="M989" s="510" t="str">
        <f>M979</f>
        <v>Stufe C</v>
      </c>
      <c r="N989" s="237"/>
      <c r="O989" s="238"/>
      <c r="P989" s="238"/>
      <c r="Q989" s="239"/>
      <c r="R989" s="240"/>
      <c r="S989" s="241"/>
      <c r="T989" s="241"/>
      <c r="U989" s="242"/>
      <c r="V989" s="243"/>
      <c r="W989" s="241"/>
      <c r="X989" s="241"/>
      <c r="Y989" s="242"/>
      <c r="Z989" s="243"/>
      <c r="AA989" s="241"/>
      <c r="AB989" s="241"/>
      <c r="AC989" s="242"/>
      <c r="AD989" s="243"/>
      <c r="AE989" s="241"/>
      <c r="AF989" s="241"/>
      <c r="AG989" s="242"/>
      <c r="AH989" s="240"/>
      <c r="AI989" s="241"/>
      <c r="AJ989" s="241"/>
      <c r="AK989" s="377"/>
      <c r="AL989" s="347"/>
      <c r="AM989" s="353"/>
      <c r="AN989" s="353"/>
      <c r="AO989" s="353"/>
      <c r="AP989" s="353"/>
      <c r="AQ989" s="349"/>
      <c r="AR989" s="768"/>
      <c r="AS989" s="768"/>
      <c r="AT989" s="768"/>
      <c r="BM989" s="335"/>
    </row>
    <row r="990" spans="1:65" ht="23" customHeight="1">
      <c r="A990" s="181">
        <f t="shared" si="333"/>
        <v>45292</v>
      </c>
      <c r="B990" s="182">
        <v>99</v>
      </c>
      <c r="C990" s="245">
        <f>IFERROR(VLOOKUP($B990,'Aktuelle Einnahmen'!A2:G104,3,0),"")</f>
        <v>0</v>
      </c>
      <c r="D990" s="246">
        <f>IFERROR(VLOOKUP($B990,'Aktuelle Einnahmen'!A2:G104,2,0),"")</f>
        <v>0</v>
      </c>
      <c r="E990" s="247">
        <f>IFERROR(VLOOKUP($B990,'Aktuelle Einnahmen'!A2:G104,4,0),"")</f>
        <v>0</v>
      </c>
      <c r="F990" s="94">
        <f>IFERROR(VLOOKUP($B990,'Aktuelle Einnahmen'!A2:G104,5,0),"")</f>
        <v>0</v>
      </c>
      <c r="G990" s="94">
        <f>IFERROR(VLOOKUP($B990,'Aktuelle Einnahmen'!A2:G104,6,0),"")</f>
        <v>0</v>
      </c>
      <c r="H990" s="94">
        <f>IFERROR(VLOOKUP($B990,'Aktuelle Einnahmen'!A2:G104,7,0),"")</f>
        <v>0</v>
      </c>
      <c r="I990" s="186" t="e">
        <f>DATE(H990,G990,F990)</f>
        <v>#NUM!</v>
      </c>
      <c r="J990" s="472">
        <f ca="1">J980</f>
        <v>45475</v>
      </c>
      <c r="K990" s="506" t="str">
        <f t="shared" si="337"/>
        <v>+Inflat.-P</v>
      </c>
      <c r="L990" s="1262" t="str">
        <f>IFERROR(VLOOKUP(B990,'Aktuelle Einnahmen'!A52:I154,9,0),"")</f>
        <v>Auswahl treffen</v>
      </c>
      <c r="M990" s="1263"/>
      <c r="N990" s="261"/>
      <c r="O990" s="261"/>
      <c r="P990" s="261"/>
      <c r="Q990" s="261"/>
      <c r="R990" s="189"/>
      <c r="S990" s="190"/>
      <c r="T990" s="190"/>
      <c r="U990" s="191"/>
      <c r="V990" s="192"/>
      <c r="W990" s="190"/>
      <c r="X990" s="190"/>
      <c r="Y990" s="191"/>
      <c r="Z990" s="192"/>
      <c r="AA990" s="190"/>
      <c r="AB990" s="190"/>
      <c r="AC990" s="191"/>
      <c r="AD990" s="192"/>
      <c r="AE990" s="190"/>
      <c r="AF990" s="190"/>
      <c r="AG990" s="191"/>
      <c r="AH990" s="193"/>
      <c r="AI990" s="190"/>
      <c r="AJ990" s="190"/>
      <c r="AK990" s="374"/>
      <c r="AL990" s="348"/>
      <c r="AM990" s="354"/>
      <c r="AN990" s="354"/>
      <c r="AO990" s="354"/>
      <c r="AP990" s="354"/>
      <c r="AQ990" s="350"/>
      <c r="AR990" s="769"/>
      <c r="AS990" s="769"/>
      <c r="AT990" s="769"/>
      <c r="BM990" s="335"/>
    </row>
    <row r="991" spans="1:65" ht="22.25" customHeight="1">
      <c r="A991" s="181">
        <f t="shared" si="333"/>
        <v>45292</v>
      </c>
      <c r="B991" s="484" t="e">
        <f>DAY(I990)</f>
        <v>#NUM!</v>
      </c>
      <c r="C991" s="489" t="s">
        <v>158</v>
      </c>
      <c r="D991" s="520" t="e">
        <f>(I991*4)+J991/3+1</f>
        <v>#NUM!</v>
      </c>
      <c r="E991" s="194" t="e">
        <f>J993+1</f>
        <v>#NUM!</v>
      </c>
      <c r="F991" s="195" t="e">
        <f t="shared" ref="F991:F998" si="341">DAY(E991)</f>
        <v>#NUM!</v>
      </c>
      <c r="G991" s="196" t="e">
        <f t="shared" ref="G991:G998" si="342">MONTH(E991)</f>
        <v>#NUM!</v>
      </c>
      <c r="H991" s="195" t="e">
        <f t="shared" ref="H991:H998" si="343">YEAR(E991)</f>
        <v>#NUM!</v>
      </c>
      <c r="I991" s="197" t="e">
        <f>H991-(H990+2000)</f>
        <v>#NUM!</v>
      </c>
      <c r="J991" s="198" t="e">
        <f>G991-G990</f>
        <v>#NUM!</v>
      </c>
      <c r="K991" s="506" t="str">
        <f>L989</f>
        <v/>
      </c>
      <c r="L991" s="469"/>
      <c r="M991" s="473" t="e">
        <f ca="1">SUM(J990-E992)&amp;" Tage"</f>
        <v>#NUM!</v>
      </c>
      <c r="N991" s="206"/>
      <c r="O991" s="201"/>
      <c r="P991" s="201"/>
      <c r="Q991" s="202"/>
      <c r="R991" s="189"/>
      <c r="S991" s="203"/>
      <c r="T991" s="203"/>
      <c r="U991" s="204"/>
      <c r="V991" s="192"/>
      <c r="W991" s="203"/>
      <c r="X991" s="203"/>
      <c r="Y991" s="204"/>
      <c r="Z991" s="192"/>
      <c r="AA991" s="203"/>
      <c r="AB991" s="203"/>
      <c r="AC991" s="204"/>
      <c r="AD991" s="192"/>
      <c r="AE991" s="203"/>
      <c r="AF991" s="203"/>
      <c r="AG991" s="204"/>
      <c r="AH991" s="193"/>
      <c r="AI991" s="203"/>
      <c r="AJ991" s="203"/>
      <c r="AK991" s="375"/>
      <c r="AL991" s="348"/>
      <c r="AM991" s="354"/>
      <c r="AN991" s="354"/>
      <c r="AO991" s="354"/>
      <c r="AP991" s="354"/>
      <c r="AQ991" s="350"/>
      <c r="AR991" s="769"/>
      <c r="AS991" s="769"/>
      <c r="AT991" s="769"/>
      <c r="BM991" s="335"/>
    </row>
    <row r="992" spans="1:65" ht="22.25" customHeight="1">
      <c r="A992" s="181">
        <f t="shared" si="333"/>
        <v>45292</v>
      </c>
      <c r="B992" s="485"/>
      <c r="C992" s="490"/>
      <c r="D992" s="521"/>
      <c r="E992" s="194" t="e">
        <f>DATE(YEAR(E991),MONTH(E991)+3,DAY(E991)-1)</f>
        <v>#NUM!</v>
      </c>
      <c r="F992" s="195" t="e">
        <f t="shared" si="341"/>
        <v>#NUM!</v>
      </c>
      <c r="G992" s="196" t="e">
        <f t="shared" si="342"/>
        <v>#NUM!</v>
      </c>
      <c r="H992" s="195" t="e">
        <f t="shared" si="343"/>
        <v>#NUM!</v>
      </c>
      <c r="I992" s="244">
        <v>-1</v>
      </c>
      <c r="J992" s="198" t="e">
        <f>F991-F990</f>
        <v>#NUM!</v>
      </c>
      <c r="K992" s="501" t="str">
        <f t="shared" si="337"/>
        <v>+Inflat.-P</v>
      </c>
      <c r="L992" s="511" t="e">
        <f>IF(M989="Stufe A",IF(AND(L990="Auswahl treffen",D991&gt;=0,D991&lt;=1000),J989,IF(AND(L990="Vermögend und ambulant",D991&gt;8,D991&lt;=1000),130,IF(AND(L990="Vermögend und ambulant",D991&gt;4,D991&lt;=8),158,IF(AND(L990="Vermögend und ambulant",D991&gt;2,D991&lt;=4),192,IF(AND(L990="Vermögend und ambulant",D991&gt;1,D991&lt;=2),208,IF(AND(L990="Vermögend und ambulant",D991&gt;0,D991&lt;=1),298,IF(AND(L990="Vermögend und stationär",D991&gt;8,D991&lt;=1000),78,IF(AND(L990="Vermögend und stationär",D991&gt;4,D991&lt;=8),91,IF(AND(L990="Vermögend und stationär",D991&gt;2,D991&lt;=4),140,IF(AND(L990="Vermögend und stationär",D991&gt;1,D991&lt;=2),158,IF(AND(L990="Vermögend und stationär",D991&gt;0,D991&lt;=1),200,IF(AND(L990="Mittellos und ambulant",D991&gt;8,D991&lt;=1000),105,IF(AND(L990="Mittellos und ambulant",D991&gt;4,D991&lt;=8),122,IF(AND(L990="Mittellos und ambulant",D991&gt;2,D991&lt;=4),151,IF(AND(L990="Mittellos und ambulant",D991&gt;1,D991&lt;=2),170,IF(AND(L990="Mittellos und ambulant",D991&gt;0,D991&lt;=1),208,IF(AND(L990="Mittellos und stationär",D991&gt;8,D991&lt;=1000),62,IF(AND(L990="Mittellos und stationär",D991&gt;4,D991&lt;=8),87,IF(AND(L990="Mittellos und stationär",D991&gt;2,D991&lt;=4),124,IF(AND(L990="Mittellos und stationär",D991&gt;1,D991&lt;=2),129,IF(AND(L990="Mittellos und stationär",D991&gt;0,D991&lt;=1),194,""))))))))))))))))))))),IF(M989="Stufe B",IF(AND(L990="Auswahl treffen",D991&gt;=0,D991&lt;=1000),J989,IF(AND(L990="Vermögend und ambulant",D991&gt;8,D991&lt;=1000),161,IF(AND(L990="Vermögend und ambulant",D991&gt;4,D991&lt;=8),196,IF(AND(L990="Vermögend und ambulant",D991&gt;2,D991&lt;=4),238,IF(AND(L990="Vermögend und ambulant",D991&gt;1,D991&lt;=2),258,IF(AND(L990="Vermögend und ambulant",D991&gt;0,D991&lt;=1),370,IF(AND(L990="Vermögend und stationär",D991&gt;8,D991&lt;=1000),96,IF(AND(L990="Vermögend und stationär",D991&gt;4,D991&lt;=8),113,IF(AND(L990="Vermögend und stationär",D991&gt;2,D991&lt;=4),174,IF(AND(L990="Vermögend und stationär",D991&gt;1,D991&lt;=2),196,IF(AND(L990="Vermögend und stationär",D991&gt;0,D991&lt;=1),249,IF(AND(L990="Mittellos und ambulant",D991&gt;8,D991&lt;=1000),130,IF(AND(L990="Mittellos und ambulant",D991&gt;4,D991&lt;=8),151,IF(AND(L990="Mittellos und ambulant",D991&gt;2,D991&lt;=4),188,IF(AND(L990="Mittellos und ambulant",D991&gt;1,D991&lt;=2),211,IF(AND(L990="Mittellos und ambulant",D991&gt;0,D991&lt;=1),258,IF(AND(L990="Mittellos und stationär",D991&gt;8,D991&lt;=1000),78,IF(AND(L990="Mittellos und stationär",D991&gt;4,D991&lt;=8),107,IF(AND(L990="Mittellos und stationär",D991&gt;2,D991&lt;=4),154,IF(AND(L990="Mittellos und stationär",D991&gt;1,D991&lt;=2),158,IF(AND(L990="Mittellos und stationär",D991&gt;0,D991&lt;=1),241,""))))))))))))))))))))),IF(M989="Stufe C",IF(AND(L990="Auswahl treffen",D991&gt;=0,D991&lt;=1000),J989,IF(AND(L990="Vermögend und ambulant",D991&gt;8,D991&lt;=1000),211,IF(AND(L990="Vermögend und ambulant",D991&gt;4,D991&lt;=8),257,IF(AND(L990="Vermögend und ambulant",D991&gt;2,D991&lt;=4),312,IF(AND(L990="Vermögend und ambulant",D991&gt;1,D991&lt;=2),339,IF(AND(L990="Vermögend und ambulant",D991&gt;0,D991&lt;=1),486,IF(AND(L990="Vermögend und stationär",D991&gt;8,D991&lt;=1000),127,IF(AND(L990="Vermögend und stationär",D991&gt;4,D991&lt;=8),149,IF(AND(L990="Vermögend und stationär",D991&gt;2,D991&lt;=4),229,IF(AND(L990="Vermögend und stationär",D991&gt;1,D991&lt;=2),257,IF(AND(L990="Vermögend und stationär",D991&gt;0,D991&lt;=1),327,IF(AND(L990="Mittellos und ambulant",D991&gt;8,D991&lt;=1000),171,IF(AND(L990="Mittellos und ambulant",D991&gt;4,D991&lt;=8),198,IF(AND(L990="Mittellos und ambulant",D991&gt;2,D991&lt;=4),246,IF(AND(L990="Mittellos und ambulant",D991&gt;1,D991&lt;=2),277,IF(AND(L990="Mittellos und ambulant",D991&gt;0,D991&lt;=1),339,IF(AND(L990="Mittellos und stationär",D991&gt;8,D991&lt;=1000),102,IF(AND(L990="Mittellos und stationär",D991&gt;4,D991&lt;=8),141,IF(AND(L990="Mittellos und stationär",D991&gt;2,D991&lt;=4),202,IF(AND(L990="Mittellos und stationär",D991&gt;1,D991&lt;=2),208,IF(AND(L990="Mittellos und stationär",D991&gt;0,D991&lt;=1),317,""))))))))))))))))))))),"")))*3+(J989*90)</f>
        <v>#NUM!</v>
      </c>
      <c r="M992" s="507" t="str">
        <f>CONCATENATE(K992, K991)</f>
        <v>+Inflat.-P</v>
      </c>
      <c r="N992" s="206" t="s">
        <v>118</v>
      </c>
      <c r="O992" s="207"/>
      <c r="P992" s="207"/>
      <c r="Q992" s="208"/>
      <c r="R992" s="187"/>
      <c r="S992" s="209" t="s">
        <v>118</v>
      </c>
      <c r="T992" s="201" t="s">
        <v>117</v>
      </c>
      <c r="U992" s="210" t="s">
        <v>26</v>
      </c>
      <c r="V992" s="192"/>
      <c r="W992" s="203"/>
      <c r="X992" s="203"/>
      <c r="Y992" s="210"/>
      <c r="Z992" s="192"/>
      <c r="AA992" s="203"/>
      <c r="AB992" s="203"/>
      <c r="AC992" s="210"/>
      <c r="AD992" s="192"/>
      <c r="AE992" s="203"/>
      <c r="AF992" s="203"/>
      <c r="AG992" s="210"/>
      <c r="AH992" s="193"/>
      <c r="AI992" s="203"/>
      <c r="AJ992" s="203"/>
      <c r="AK992" s="376"/>
      <c r="AL992" s="348" t="s">
        <v>148</v>
      </c>
      <c r="AM992" s="354">
        <f>IF(SUM(N990:N998)=SUM(S990:S998), 0, SUM(N990:N998)-SUM(S990:S998))</f>
        <v>0</v>
      </c>
      <c r="AN992" s="354"/>
      <c r="AO992" s="354"/>
      <c r="AP992" s="354"/>
      <c r="AQ992" s="350">
        <f>AM992+AN992+AO992+AP992</f>
        <v>0</v>
      </c>
      <c r="AR992" s="769"/>
      <c r="AS992" s="769"/>
      <c r="AT992" s="769"/>
      <c r="BM992" s="335"/>
    </row>
    <row r="993" spans="1:65" ht="22.25" customHeight="1">
      <c r="A993" s="181">
        <f t="shared" si="333"/>
        <v>45292</v>
      </c>
      <c r="B993" s="484" t="e">
        <f>MONTH(I990)</f>
        <v>#NUM!</v>
      </c>
      <c r="C993" s="489" t="s">
        <v>158</v>
      </c>
      <c r="D993" s="522" t="e">
        <f>D991+1</f>
        <v>#NUM!</v>
      </c>
      <c r="E993" s="211" t="e">
        <f>DATE(YEAR(E992),MONTH(E992),DAY(E992)+1)</f>
        <v>#NUM!</v>
      </c>
      <c r="F993" s="212" t="e">
        <f t="shared" si="341"/>
        <v>#NUM!</v>
      </c>
      <c r="G993" s="213" t="e">
        <f t="shared" si="342"/>
        <v>#NUM!</v>
      </c>
      <c r="H993" s="212" t="e">
        <f t="shared" si="343"/>
        <v>#NUM!</v>
      </c>
      <c r="I993" s="214" t="str">
        <f>IF(D990&lt;&gt;0,"-1T","")</f>
        <v/>
      </c>
      <c r="J993" s="215" t="e">
        <f>DATE($B995,I994,$B991)</f>
        <v>#NUM!</v>
      </c>
      <c r="K993" s="506" t="str">
        <f t="shared" si="337"/>
        <v/>
      </c>
      <c r="L993" s="470"/>
      <c r="M993" s="473" t="e">
        <f ca="1">SUM(J990-E994)&amp;" Tage"</f>
        <v>#NUM!</v>
      </c>
      <c r="N993" s="216"/>
      <c r="O993" s="217"/>
      <c r="P993" s="188"/>
      <c r="Q993" s="217"/>
      <c r="R993" s="189"/>
      <c r="S993" s="190"/>
      <c r="T993" s="190"/>
      <c r="U993" s="191"/>
      <c r="V993" s="192"/>
      <c r="W993" s="190"/>
      <c r="X993" s="190"/>
      <c r="Y993" s="191"/>
      <c r="Z993" s="192"/>
      <c r="AA993" s="190"/>
      <c r="AB993" s="190"/>
      <c r="AC993" s="191"/>
      <c r="AD993" s="192"/>
      <c r="AE993" s="190"/>
      <c r="AF993" s="190"/>
      <c r="AG993" s="191"/>
      <c r="AH993" s="193"/>
      <c r="AI993" s="190"/>
      <c r="AJ993" s="190"/>
      <c r="AK993" s="374"/>
      <c r="AL993" s="348"/>
      <c r="AM993" s="354"/>
      <c r="AN993" s="354"/>
      <c r="AO993" s="354"/>
      <c r="AP993" s="354"/>
      <c r="AQ993" s="350"/>
      <c r="AR993" s="769"/>
      <c r="AS993" s="769"/>
      <c r="AT993" s="769"/>
      <c r="BM993" s="335"/>
    </row>
    <row r="994" spans="1:65" ht="22.25" customHeight="1">
      <c r="A994" s="181">
        <f t="shared" si="333"/>
        <v>45292</v>
      </c>
      <c r="B994" s="485"/>
      <c r="C994" s="490"/>
      <c r="D994" s="521"/>
      <c r="E994" s="218" t="e">
        <f>DATE(YEAR(E993),MONTH(E993)+3,DAY(E993)-1)</f>
        <v>#NUM!</v>
      </c>
      <c r="F994" s="212" t="e">
        <f t="shared" si="341"/>
        <v>#NUM!</v>
      </c>
      <c r="G994" s="213" t="e">
        <f t="shared" si="342"/>
        <v>#NUM!</v>
      </c>
      <c r="H994" s="212" t="e">
        <f t="shared" si="343"/>
        <v>#NUM!</v>
      </c>
      <c r="I994" s="219">
        <f>MAX(I995:I998)</f>
        <v>9</v>
      </c>
      <c r="J994" s="220" t="e">
        <f>DATE(YEAR(J993)+1,MONTH(J993),DAY(J993))</f>
        <v>#NUM!</v>
      </c>
      <c r="K994" s="501" t="str">
        <f t="shared" si="337"/>
        <v>+Inflat.-P</v>
      </c>
      <c r="L994" s="508" t="e">
        <f>IF(M989="Stufe A",IF(AND(L990="Auswahl treffen",D993&gt;=0,D993&lt;=1000),J989,IF(AND(L990="Vermögend und ambulant",D993&gt;8,D993&lt;=1000),130,IF(AND(L990="Vermögend und ambulant",D993&gt;4,D993&lt;=8),158,IF(AND(L990="Vermögend und ambulant",D993&gt;2,D993&lt;=4),192,IF(AND(L990="Vermögend und ambulant",D993&gt;1,D993&lt;=2),208,IF(AND(L990="Vermögend und ambulant",D993&gt;0,D993&lt;=1),298,IF(AND(L990="Vermögend und stationär",D993&gt;8,D993&lt;=1000),78,IF(AND(L990="Vermögend und stationär",D993&gt;4,D993&lt;=8),91,IF(AND(L990="Vermögend und stationär",D993&gt;2,D993&lt;=4),140,IF(AND(L990="Vermögend und stationär",D993&gt;1,D993&lt;=2),158,IF(AND(L990="Vermögend und stationär",D993&gt;0,D993&lt;=1),200,IF(AND(L990="Mittellos und ambulant",D993&gt;8,D993&lt;=1000),105,IF(AND(L990="Mittellos und ambulant",D993&gt;4,D993&lt;=8),122,IF(AND(L990="Mittellos und ambulant",D993&gt;2,D993&lt;=4),151,IF(AND(L990="Mittellos und ambulant",D993&gt;1,D993&lt;=2),170,IF(AND(L990="Mittellos und ambulant",D993&gt;0,D993&lt;=1),208,IF(AND(L990="Mittellos und stationär",D993&gt;8,D993&lt;=1000),62,IF(AND(L990="Mittellos und stationär",D993&gt;4,D993&lt;=8),87,IF(AND(L990="Mittellos und stationär",D993&gt;2,D993&lt;=4),124,IF(AND(L990="Mittellos und stationär",D993&gt;1,D993&lt;=2),129,IF(AND(L990="Mittellos und stationär",D993&gt;0,D993&lt;=1),194,""))))))))))))))))))))),IF(M989="Stufe B",IF(AND(L990="Auswahl treffen",D993&gt;=0,D993&lt;=1000),J989,IF(AND(L990="Vermögend und ambulant",D993&gt;8,D993&lt;=1000),161,IF(AND(L990="Vermögend und ambulant",D993&gt;4,D993&lt;=8),196,IF(AND(L990="Vermögend und ambulant",D993&gt;2,D993&lt;=4),238,IF(AND(L990="Vermögend und ambulant",D993&gt;1,D993&lt;=2),258,IF(AND(L990="Vermögend und ambulant",D993&gt;0,D993&lt;=1),370,IF(AND(L990="Vermögend und stationär",D993&gt;8,D993&lt;=1000),96,IF(AND(L990="Vermögend und stationär",D993&gt;4,D993&lt;=8),113,IF(AND(L990="Vermögend und stationär",D993&gt;2,D993&lt;=4),174,IF(AND(L990="Vermögend und stationär",D993&gt;1,D993&lt;=2),196,IF(AND(L990="Vermögend und stationär",D993&gt;0,D993&lt;=1),249,IF(AND(L990="Mittellos und ambulant",D993&gt;8,D993&lt;=1000),130,IF(AND(L990="Mittellos und ambulant",D993&gt;4,D993&lt;=8),151,IF(AND(L990="Mittellos und ambulant",D993&gt;2,D993&lt;=4),188,IF(AND(L990="Mittellos und ambulant",D993&gt;1,D993&lt;=2),211,IF(AND(L990="Mittellos und ambulant",D993&gt;0,D993&lt;=1),258,IF(AND(L990="Mittellos und stationär",D993&gt;8,D993&lt;=1000),78,IF(AND(L990="Mittellos und stationär",D993&gt;4,D993&lt;=8),107,IF(AND(L990="Mittellos und stationär",D993&gt;2,D993&lt;=4),154,IF(AND(L990="Mittellos und stationär",D993&gt;1,D993&lt;=2),158,IF(AND(L990="Mittellos und stationär",D993&gt;0,D993&lt;=1),241,""))))))))))))))))))))),IF(M989="Stufe C",IF(AND(L990="Auswahl treffen",D993&gt;=0,D993&lt;=1000),J989,IF(AND(L990="Vermögend und ambulant",D993&gt;8,D993&lt;=1000),211,IF(AND(L990="Vermögend und ambulant",D993&gt;4,D993&lt;=8),257,IF(AND(L990="Vermögend und ambulant",D993&gt;2,D993&lt;=4),312,IF(AND(L990="Vermögend und ambulant",D993&gt;1,D993&lt;=2),339,IF(AND(L990="Vermögend und ambulant",D993&gt;0,D993&lt;=1),486,IF(AND(L990="Vermögend und stationär",D993&gt;8,D993&lt;=1000),127,IF(AND(L990="Vermögend und stationär",D993&gt;4,D993&lt;=8),149,IF(AND(L990="Vermögend und stationär",D993&gt;2,D993&lt;=4),229,IF(AND(L990="Vermögend und stationär",D993&gt;1,D993&lt;=2),257,IF(AND(L990="Vermögend und stationär",D993&gt;0,D993&lt;=1),327,IF(AND(L990="Mittellos und ambulant",D993&gt;8,D993&lt;=1000),171,IF(AND(L990="Mittellos und ambulant",D993&gt;4,D993&lt;=8),198,IF(AND(L990="Mittellos und ambulant",D993&gt;2,D993&lt;=4),246,IF(AND(L990="Mittellos und ambulant",D993&gt;1,D993&lt;=2),277,IF(AND(L990="Mittellos und ambulant",D993&gt;0,D993&lt;=1),339,IF(AND(L990="Mittellos und stationär",D993&gt;8,D993&lt;=1000),102,IF(AND(L990="Mittellos und stationär",D993&gt;4,D993&lt;=8),141,IF(AND(L990="Mittellos und stationär",D993&gt;2,D993&lt;=4),202,IF(AND(L990="Mittellos und stationär",D993&gt;1,D993&lt;=2),208,IF(AND(L990="Mittellos und stationär",D993&gt;0,D993&lt;=1),317,""))))))))))))))))))))),"")))*3+(J989*90)</f>
        <v>#NUM!</v>
      </c>
      <c r="M994" s="507" t="str">
        <f>CONCATENATE(K994, K993)</f>
        <v>+Inflat.-P</v>
      </c>
      <c r="N994" s="216"/>
      <c r="O994" s="188" t="s">
        <v>118</v>
      </c>
      <c r="P994" s="188"/>
      <c r="Q994" s="221"/>
      <c r="R994" s="199"/>
      <c r="S994" s="190"/>
      <c r="T994" s="190"/>
      <c r="U994" s="191"/>
      <c r="V994" s="192"/>
      <c r="W994" s="222" t="s">
        <v>118</v>
      </c>
      <c r="X994" s="222" t="s">
        <v>117</v>
      </c>
      <c r="Y994" s="191" t="s">
        <v>26</v>
      </c>
      <c r="Z994" s="192"/>
      <c r="AA994" s="190"/>
      <c r="AB994" s="190"/>
      <c r="AC994" s="191"/>
      <c r="AD994" s="192"/>
      <c r="AE994" s="190"/>
      <c r="AF994" s="190"/>
      <c r="AG994" s="191"/>
      <c r="AH994" s="193"/>
      <c r="AI994" s="190"/>
      <c r="AJ994" s="190"/>
      <c r="AK994" s="374"/>
      <c r="AL994" s="348" t="s">
        <v>149</v>
      </c>
      <c r="AM994" s="354"/>
      <c r="AN994" s="354">
        <f>IF(SUM(O990:O998)=SUM(W990:W998), 0, SUM(O990:O998)-SUM(W990:W998))</f>
        <v>0</v>
      </c>
      <c r="AO994" s="354"/>
      <c r="AP994" s="354"/>
      <c r="AQ994" s="350">
        <f>AM994+AN994+AO994+AP994</f>
        <v>0</v>
      </c>
      <c r="AR994" s="769"/>
      <c r="AS994" s="769"/>
      <c r="AT994" s="769"/>
      <c r="BM994" s="335"/>
    </row>
    <row r="995" spans="1:65" ht="22.25" customHeight="1">
      <c r="A995" s="181">
        <f t="shared" si="333"/>
        <v>45292</v>
      </c>
      <c r="B995" s="484">
        <f>YEAR($A996)-1</f>
        <v>2023</v>
      </c>
      <c r="C995" s="489" t="s">
        <v>158</v>
      </c>
      <c r="D995" s="520" t="e">
        <f>D993+1</f>
        <v>#NUM!</v>
      </c>
      <c r="E995" s="194" t="e">
        <f>DATE(YEAR(E994),MONTH(E994),DAY(E994)+1)</f>
        <v>#NUM!</v>
      </c>
      <c r="F995" s="195" t="e">
        <f t="shared" si="341"/>
        <v>#NUM!</v>
      </c>
      <c r="G995" s="196" t="e">
        <f t="shared" si="342"/>
        <v>#NUM!</v>
      </c>
      <c r="H995" s="195" t="e">
        <f t="shared" si="343"/>
        <v>#NUM!</v>
      </c>
      <c r="I995" s="197">
        <f>IF(J997&lt;13,J997,"")</f>
        <v>9</v>
      </c>
      <c r="J995" s="224">
        <f>G990</f>
        <v>0</v>
      </c>
      <c r="K995" s="506" t="str">
        <f t="shared" si="337"/>
        <v/>
      </c>
      <c r="L995" s="471"/>
      <c r="M995" s="473" t="e">
        <f ca="1">SUM(J990-E996)&amp;" Tage"</f>
        <v>#NUM!</v>
      </c>
      <c r="N995" s="200"/>
      <c r="O995" s="201"/>
      <c r="P995" s="201"/>
      <c r="Q995" s="202"/>
      <c r="R995" s="189"/>
      <c r="S995" s="203"/>
      <c r="T995" s="203"/>
      <c r="U995" s="204"/>
      <c r="V995" s="192"/>
      <c r="W995" s="203"/>
      <c r="X995" s="203"/>
      <c r="Y995" s="204"/>
      <c r="Z995" s="192"/>
      <c r="AA995" s="203"/>
      <c r="AB995" s="203"/>
      <c r="AC995" s="204"/>
      <c r="AD995" s="192"/>
      <c r="AE995" s="203"/>
      <c r="AF995" s="203"/>
      <c r="AG995" s="204"/>
      <c r="AH995" s="193"/>
      <c r="AI995" s="203"/>
      <c r="AJ995" s="203"/>
      <c r="AK995" s="375"/>
      <c r="AL995" s="348"/>
      <c r="AM995" s="354"/>
      <c r="AN995" s="354"/>
      <c r="AO995" s="354"/>
      <c r="AP995" s="354"/>
      <c r="AQ995" s="350"/>
      <c r="AR995" s="769"/>
      <c r="AS995" s="769"/>
      <c r="AT995" s="769"/>
      <c r="BM995" s="335"/>
    </row>
    <row r="996" spans="1:65" ht="22.25" customHeight="1">
      <c r="A996" s="181">
        <f t="shared" si="333"/>
        <v>45292</v>
      </c>
      <c r="B996" s="485"/>
      <c r="C996" s="490"/>
      <c r="D996" s="521"/>
      <c r="E996" s="194" t="e">
        <f>DATE(YEAR(E995),MONTH(E995)+3,DAY(E995)-1)</f>
        <v>#NUM!</v>
      </c>
      <c r="F996" s="195" t="e">
        <f t="shared" si="341"/>
        <v>#NUM!</v>
      </c>
      <c r="G996" s="196" t="e">
        <f t="shared" si="342"/>
        <v>#NUM!</v>
      </c>
      <c r="H996" s="195" t="e">
        <f t="shared" si="343"/>
        <v>#NUM!</v>
      </c>
      <c r="I996" s="244">
        <f>IF(J998&lt;13,J998,"")</f>
        <v>6</v>
      </c>
      <c r="J996" s="224">
        <f>J995+3</f>
        <v>3</v>
      </c>
      <c r="K996" s="501" t="str">
        <f t="shared" si="337"/>
        <v>+Inflat.-P</v>
      </c>
      <c r="L996" s="511" t="e">
        <f>IF(M989="Stufe A",IF(AND(L990="Auswahl treffen",D995&gt;=0,D995&lt;=1000),J989,IF(AND(L990="Vermögend und ambulant",D995&gt;8,D995&lt;=1000),130,IF(AND(L990="Vermögend und ambulant",D995&gt;4,D995&lt;=8),158,IF(AND(L990="Vermögend und ambulant",D995&gt;2,D995&lt;=4),192,IF(AND(L990="Vermögend und ambulant",D995&gt;1,D995&lt;=2),208,IF(AND(L990="Vermögend und ambulant",D995&gt;0,D995&lt;=1),298,IF(AND(L990="Vermögend und stationär",D995&gt;8,D995&lt;=1000),78,IF(AND(L990="Vermögend und stationär",D995&gt;4,D995&lt;=8),91,IF(AND(L990="Vermögend und stationär",D995&gt;2,D995&lt;=4),140,IF(AND(L990="Vermögend und stationär",D995&gt;1,D995&lt;=2),158,IF(AND(L990="Vermögend und stationär",D995&gt;0,D995&lt;=1),200,IF(AND(L990="Mittellos und ambulant",D995&gt;8,D995&lt;=1000),105,IF(AND(L990="Mittellos und ambulant",D995&gt;4,D995&lt;=8),122,IF(AND(L990="Mittellos und ambulant",D995&gt;2,D995&lt;=4),151,IF(AND(L990="Mittellos und ambulant",D995&gt;1,D995&lt;=2),170,IF(AND(L990="Mittellos und ambulant",D995&gt;0,D995&lt;=1),208,IF(AND(L990="Mittellos und stationär",D995&gt;8,D995&lt;=1000),62,IF(AND(L990="Mittellos und stationär",D995&gt;4,D995&lt;=8),87,IF(AND(L990="Mittellos und stationär",D995&gt;2,D995&lt;=4),124,IF(AND(L990="Mittellos und stationär",D995&gt;1,D995&lt;=2),129,IF(AND(L990="Mittellos und stationär",D995&gt;0,D995&lt;=1),194,""))))))))))))))))))))),IF(M989="Stufe B",IF(AND(L990="Auswahl treffen",D995&gt;=0,D995&lt;=1000),J989,IF(AND(L990="Vermögend und ambulant",D995&gt;8,D995&lt;=1000),161,IF(AND(L990="Vermögend und ambulant",D995&gt;4,D995&lt;=8),196,IF(AND(L990="Vermögend und ambulant",D995&gt;2,D995&lt;=4),238,IF(AND(L990="Vermögend und ambulant",D995&gt;1,D995&lt;=2),258,IF(AND(L990="Vermögend und ambulant",D995&gt;0,D995&lt;=1),370,IF(AND(L990="Vermögend und stationär",D995&gt;8,D995&lt;=1000),96,IF(AND(L990="Vermögend und stationär",D995&gt;4,D995&lt;=8),113,IF(AND(L990="Vermögend und stationär",D995&gt;2,D995&lt;=4),174,IF(AND(L990="Vermögend und stationär",D995&gt;1,D995&lt;=2),196,IF(AND(L990="Vermögend und stationär",D995&gt;0,D995&lt;=1),249,IF(AND(L990="Mittellos und ambulant",D995&gt;8,D995&lt;=1000),130,IF(AND(L990="Mittellos und ambulant",D995&gt;4,D995&lt;=8),151,IF(AND(L990="Mittellos und ambulant",D995&gt;2,D995&lt;=4),188,IF(AND(L990="Mittellos und ambulant",D995&gt;1,D995&lt;=2),211,IF(AND(L990="Mittellos und ambulant",D995&gt;0,D995&lt;=1),258,IF(AND(L990="Mittellos und stationär",D995&gt;8,D995&lt;=1000),78,IF(AND(L990="Mittellos und stationär",D995&gt;4,D995&lt;=8),107,IF(AND(L990="Mittellos und stationär",D995&gt;2,D995&lt;=4),154,IF(AND(L990="Mittellos und stationär",D995&gt;1,D995&lt;=2),158,IF(AND(L990="Mittellos und stationär",D995&gt;0,D995&lt;=1),241,""))))))))))))))))))))),IF(M989="Stufe C",IF(AND(L990="Auswahl treffen",D995&gt;=0,D995&lt;=1000),J989,IF(AND(L990="Vermögend und ambulant",D995&gt;8,D995&lt;=1000),211,IF(AND(L990="Vermögend und ambulant",D995&gt;4,D995&lt;=8),257,IF(AND(L990="Vermögend und ambulant",D995&gt;2,D995&lt;=4),312,IF(AND(L990="Vermögend und ambulant",D995&gt;1,D995&lt;=2),339,IF(AND(L990="Vermögend und ambulant",D995&gt;0,D995&lt;=1),486,IF(AND(L990="Vermögend und stationär",D995&gt;8,D995&lt;=1000),127,IF(AND(L990="Vermögend und stationär",D995&gt;4,D995&lt;=8),149,IF(AND(L990="Vermögend und stationär",D995&gt;2,D995&lt;=4),229,IF(AND(L990="Vermögend und stationär",D995&gt;1,D995&lt;=2),257,IF(AND(L990="Vermögend und stationär",D995&gt;0,D995&lt;=1),327,IF(AND(L990="Mittellos und ambulant",D995&gt;8,D995&lt;=1000),171,IF(AND(L990="Mittellos und ambulant",D995&gt;4,D995&lt;=8),198,IF(AND(L990="Mittellos und ambulant",D995&gt;2,D995&lt;=4),246,IF(AND(L990="Mittellos und ambulant",D995&gt;1,D995&lt;=2),277,IF(AND(L990="Mittellos und ambulant",D995&gt;0,D995&lt;=1),339,IF(AND(L990="Mittellos und stationär",D995&gt;8,D995&lt;=1000),102,IF(AND(L990="Mittellos und stationär",D995&gt;4,D995&lt;=8),141,IF(AND(L990="Mittellos und stationär",D995&gt;2,D995&lt;=4),202,IF(AND(L990="Mittellos und stationär",D995&gt;1,D995&lt;=2),208,IF(AND(L990="Mittellos und stationär",D995&gt;0,D995&lt;=1),317,""))))))))))))))))))))),"")))*3+(J989*90)</f>
        <v>#NUM!</v>
      </c>
      <c r="M996" s="507" t="str">
        <f>CONCATENATE(K996, K995)</f>
        <v>+Inflat.-P</v>
      </c>
      <c r="N996" s="206"/>
      <c r="O996" s="207"/>
      <c r="P996" s="206" t="s">
        <v>118</v>
      </c>
      <c r="Q996" s="226"/>
      <c r="R996" s="189"/>
      <c r="S996" s="203"/>
      <c r="T996" s="203"/>
      <c r="U996" s="204"/>
      <c r="V996" s="192"/>
      <c r="W996" s="203"/>
      <c r="X996" s="203"/>
      <c r="Y996" s="204"/>
      <c r="Z996" s="192"/>
      <c r="AA996" s="209" t="s">
        <v>118</v>
      </c>
      <c r="AB996" s="209" t="s">
        <v>117</v>
      </c>
      <c r="AC996" s="204" t="s">
        <v>26</v>
      </c>
      <c r="AD996" s="192"/>
      <c r="AE996" s="203"/>
      <c r="AF996" s="203"/>
      <c r="AG996" s="204"/>
      <c r="AH996" s="193"/>
      <c r="AI996" s="203"/>
      <c r="AJ996" s="203"/>
      <c r="AK996" s="375"/>
      <c r="AL996" s="348" t="s">
        <v>150</v>
      </c>
      <c r="AM996" s="354"/>
      <c r="AN996" s="354"/>
      <c r="AO996" s="354">
        <f>IF(SUM(P990:P998)=SUM(AA990:AA998), 0, SUM(P990:P998)-SUM(AA990:AA998))</f>
        <v>0</v>
      </c>
      <c r="AP996" s="354"/>
      <c r="AQ996" s="350">
        <f>AM996+AN996+AO996+AP996</f>
        <v>0</v>
      </c>
      <c r="AR996" s="769"/>
      <c r="AS996" s="769"/>
      <c r="AT996" s="769"/>
      <c r="BM996" s="335"/>
    </row>
    <row r="997" spans="1:65" ht="22.25" customHeight="1">
      <c r="A997" s="181">
        <f t="shared" si="333"/>
        <v>45292</v>
      </c>
      <c r="B997" s="486"/>
      <c r="C997" s="489" t="s">
        <v>158</v>
      </c>
      <c r="D997" s="522" t="e">
        <f>D995+1</f>
        <v>#NUM!</v>
      </c>
      <c r="E997" s="211" t="e">
        <f>DATE(YEAR(E996),MONTH(E996),DAY(E996)+1)</f>
        <v>#NUM!</v>
      </c>
      <c r="F997" s="227" t="e">
        <f t="shared" si="341"/>
        <v>#NUM!</v>
      </c>
      <c r="G997" s="228" t="e">
        <f t="shared" si="342"/>
        <v>#NUM!</v>
      </c>
      <c r="H997" s="227" t="e">
        <f t="shared" si="343"/>
        <v>#NUM!</v>
      </c>
      <c r="I997" s="231">
        <f>IF(J996&lt;13,J996,"")</f>
        <v>3</v>
      </c>
      <c r="J997" s="230">
        <f>J998+3</f>
        <v>9</v>
      </c>
      <c r="K997" s="506" t="str">
        <f t="shared" si="337"/>
        <v/>
      </c>
      <c r="L997" s="471"/>
      <c r="M997" s="473" t="e">
        <f ca="1">SUM(J990-E998)&amp;" Tage"</f>
        <v>#NUM!</v>
      </c>
      <c r="N997" s="216"/>
      <c r="O997" s="188"/>
      <c r="P997" s="188"/>
      <c r="Q997" s="217"/>
      <c r="R997" s="189"/>
      <c r="S997" s="190"/>
      <c r="T997" s="190"/>
      <c r="U997" s="191"/>
      <c r="V997" s="192"/>
      <c r="W997" s="190"/>
      <c r="X997" s="190"/>
      <c r="Y997" s="191"/>
      <c r="Z997" s="192"/>
      <c r="AA997" s="190"/>
      <c r="AB997" s="190"/>
      <c r="AC997" s="191"/>
      <c r="AD997" s="192"/>
      <c r="AE997" s="190"/>
      <c r="AF997" s="190"/>
      <c r="AG997" s="191"/>
      <c r="AH997" s="193"/>
      <c r="AI997" s="190"/>
      <c r="AJ997" s="190"/>
      <c r="AK997" s="374"/>
      <c r="AL997" s="348"/>
      <c r="AM997" s="354"/>
      <c r="AN997" s="354"/>
      <c r="AO997" s="354"/>
      <c r="AP997" s="354"/>
      <c r="AQ997" s="350"/>
      <c r="AR997" s="769"/>
      <c r="AS997" s="769"/>
      <c r="AT997" s="769"/>
      <c r="BM997" s="335"/>
    </row>
    <row r="998" spans="1:65" ht="22.25" customHeight="1">
      <c r="A998" s="181">
        <f t="shared" si="333"/>
        <v>45292</v>
      </c>
      <c r="B998" s="485"/>
      <c r="C998" s="490"/>
      <c r="D998" s="521"/>
      <c r="E998" s="218" t="e">
        <f>DATE(YEAR(E997),MONTH(E997)+3,DAY(E997)-1)</f>
        <v>#NUM!</v>
      </c>
      <c r="F998" s="227" t="e">
        <f t="shared" si="341"/>
        <v>#NUM!</v>
      </c>
      <c r="G998" s="228" t="e">
        <f t="shared" si="342"/>
        <v>#NUM!</v>
      </c>
      <c r="H998" s="227" t="e">
        <f t="shared" si="343"/>
        <v>#NUM!</v>
      </c>
      <c r="I998" s="231">
        <f>IF(J995&lt;13,J995,"")</f>
        <v>0</v>
      </c>
      <c r="J998" s="230">
        <f>J996+3</f>
        <v>6</v>
      </c>
      <c r="K998" s="501" t="str">
        <f t="shared" si="337"/>
        <v>+Inflat.-P</v>
      </c>
      <c r="L998" s="508" t="e">
        <f>IF(M989="Stufe A",IF(AND(L990="Auswahl treffen",D997&gt;=0,D997&lt;=1000),J989,IF(AND(L990="Vermögend und ambulant",D997&gt;8,D997&lt;=1000),130,IF(AND(L990="Vermögend und ambulant",D997&gt;4,D997&lt;=8),158,IF(AND(L990="Vermögend und ambulant",D997&gt;2,D997&lt;=4),192,IF(AND(L990="Vermögend und ambulant",D997&gt;1,D997&lt;=2),208,IF(AND(L990="Vermögend und ambulant",D997&gt;0,D997&lt;=1),298,IF(AND(L990="Vermögend und stationär",D997&gt;8,D997&lt;=1000),78,IF(AND(L990="Vermögend und stationär",D997&gt;4,D997&lt;=8),91,IF(AND(L990="Vermögend und stationär",D997&gt;2,D997&lt;=4),140,IF(AND(L990="Vermögend und stationär",D997&gt;1,D997&lt;=2),158,IF(AND(L990="Vermögend und stationär",D997&gt;0,D997&lt;=1),200,IF(AND(L990="Mittellos und ambulant",D997&gt;8,D997&lt;=1000),105,IF(AND(L990="Mittellos und ambulant",D997&gt;4,D997&lt;=8),122,IF(AND(L990="Mittellos und ambulant",D997&gt;2,D997&lt;=4),151,IF(AND(L990="Mittellos und ambulant",D997&gt;1,D997&lt;=2),170,IF(AND(L990="Mittellos und ambulant",D997&gt;0,D997&lt;=1),208,IF(AND(L990="Mittellos und stationär",D997&gt;8,D997&lt;=1000),62,IF(AND(L990="Mittellos und stationär",D997&gt;4,D997&lt;=8),87,IF(AND(L990="Mittellos und stationär",D997&gt;2,D997&lt;=4),124,IF(AND(L990="Mittellos und stationär",D997&gt;1,D997&lt;=2),129,IF(AND(L990="Mittellos und stationär",D997&gt;0,D997&lt;=1),194,""))))))))))))))))))))),IF(M989="Stufe B",IF(AND(L990="Auswahl treffen",D997&gt;=0,D997&lt;=1000),J989,IF(AND(L990="Vermögend und ambulant",D997&gt;8,D997&lt;=1000),161,IF(AND(L990="Vermögend und ambulant",D997&gt;4,D997&lt;=8),196,IF(AND(L990="Vermögend und ambulant",D997&gt;2,D997&lt;=4),238,IF(AND(L990="Vermögend und ambulant",D997&gt;1,D997&lt;=2),258,IF(AND(L990="Vermögend und ambulant",D997&gt;0,D997&lt;=1),370,IF(AND(L990="Vermögend und stationär",D997&gt;8,D997&lt;=1000),96,IF(AND(L990="Vermögend und stationär",D997&gt;4,D997&lt;=8),113,IF(AND(L990="Vermögend und stationär",D997&gt;2,D997&lt;=4),174,IF(AND(L990="Vermögend und stationär",D997&gt;1,D997&lt;=2),196,IF(AND(L990="Vermögend und stationär",D997&gt;0,D997&lt;=1),249,IF(AND(L990="Mittellos und ambulant",D997&gt;8,D997&lt;=1000),130,IF(AND(L990="Mittellos und ambulant",D997&gt;4,D997&lt;=8),151,IF(AND(L990="Mittellos und ambulant",D997&gt;2,D997&lt;=4),188,IF(AND(L990="Mittellos und ambulant",D997&gt;1,D997&lt;=2),211,IF(AND(L990="Mittellos und ambulant",D997&gt;0,D997&lt;=1),258,IF(AND(L990="Mittellos und stationär",D997&gt;8,D997&lt;=1000),78,IF(AND(L990="Mittellos und stationär",D997&gt;4,D997&lt;=8),107,IF(AND(L990="Mittellos und stationär",D997&gt;2,D997&lt;=4),154,IF(AND(L990="Mittellos und stationär",D997&gt;1,D997&lt;=2),158,IF(AND(L990="Mittellos und stationär",D997&gt;0,D997&lt;=1),241,""))))))))))))))))))))),IF(M989="Stufe C",IF(AND(L990="Auswahl treffen",D997&gt;=0,D997&lt;=1000),J989,IF(AND(L990="Vermögend und ambulant",D997&gt;8,D997&lt;=1000),211,IF(AND(L990="Vermögend und ambulant",D997&gt;4,D997&lt;=8),257,IF(AND(L990="Vermögend und ambulant",D997&gt;2,D997&lt;=4),312,IF(AND(L990="Vermögend und ambulant",D997&gt;1,D997&lt;=2),339,IF(AND(L990="Vermögend und ambulant",D997&gt;0,D997&lt;=1),486,IF(AND(L990="Vermögend und stationär",D997&gt;8,D997&lt;=1000),127,IF(AND(L990="Vermögend und stationär",D997&gt;4,D997&lt;=8),149,IF(AND(L990="Vermögend und stationär",D997&gt;2,D997&lt;=4),229,IF(AND(L990="Vermögend und stationär",D997&gt;1,D997&lt;=2),257,IF(AND(L990="Vermögend und stationär",D997&gt;0,D997&lt;=1),327,IF(AND(L990="Mittellos und ambulant",D997&gt;8,D997&lt;=1000),171,IF(AND(L990="Mittellos und ambulant",D997&gt;4,D997&lt;=8),198,IF(AND(L990="Mittellos und ambulant",D997&gt;2,D997&lt;=4),246,IF(AND(L990="Mittellos und ambulant",D997&gt;1,D997&lt;=2),277,IF(AND(L990="Mittellos und ambulant",D997&gt;0,D997&lt;=1),339,IF(AND(L990="Mittellos und stationär",D997&gt;8,D997&lt;=1000),102,IF(AND(L990="Mittellos und stationär",D997&gt;4,D997&lt;=8),141,IF(AND(L990="Mittellos und stationär",D997&gt;2,D997&lt;=4),202,IF(AND(L990="Mittellos und stationär",D997&gt;1,D997&lt;=2),208,IF(AND(L990="Mittellos und stationär",D997&gt;0,D997&lt;=1),317,""))))))))))))))))))))),"")))*3+(J989*90)</f>
        <v>#NUM!</v>
      </c>
      <c r="M998" s="507" t="str">
        <f>CONCATENATE(K998, K997)</f>
        <v>+Inflat.-P</v>
      </c>
      <c r="N998" s="216"/>
      <c r="O998" s="188"/>
      <c r="P998" s="188"/>
      <c r="Q998" s="217" t="s">
        <v>118</v>
      </c>
      <c r="R998" s="189"/>
      <c r="S998" s="190"/>
      <c r="T998" s="190"/>
      <c r="U998" s="191"/>
      <c r="V998" s="192"/>
      <c r="W998" s="190"/>
      <c r="X998" s="190"/>
      <c r="Y998" s="191"/>
      <c r="Z998" s="192"/>
      <c r="AA998" s="190"/>
      <c r="AB998" s="190"/>
      <c r="AC998" s="191"/>
      <c r="AD998" s="192"/>
      <c r="AE998" s="190" t="s">
        <v>118</v>
      </c>
      <c r="AF998" s="190" t="s">
        <v>117</v>
      </c>
      <c r="AG998" s="191" t="s">
        <v>26</v>
      </c>
      <c r="AH998" s="193"/>
      <c r="AI998" s="190" t="s">
        <v>118</v>
      </c>
      <c r="AJ998" s="190" t="s">
        <v>117</v>
      </c>
      <c r="AK998" s="374" t="s">
        <v>26</v>
      </c>
      <c r="AL998" s="348" t="s">
        <v>151</v>
      </c>
      <c r="AM998" s="354"/>
      <c r="AN998" s="354"/>
      <c r="AO998" s="354"/>
      <c r="AP998" s="354">
        <f>IF(SUM(Q990:Q998)=SUM(AE990:AE998,AI990:AI998), 0, SUM(Q990:Q998)-SUM(AE990:AE998,AI990:AI998))</f>
        <v>0</v>
      </c>
      <c r="AQ998" s="350">
        <f>AM998+AN998+AO998+AP998</f>
        <v>0</v>
      </c>
      <c r="AR998" s="769"/>
      <c r="AS998" s="769"/>
      <c r="AT998" s="769"/>
      <c r="BM998" s="335"/>
    </row>
    <row r="999" spans="1:65" ht="20" customHeight="1">
      <c r="I999"/>
      <c r="J999" s="45"/>
      <c r="K999" s="514"/>
      <c r="L999" s="45"/>
      <c r="M999" s="45"/>
      <c r="N999"/>
      <c r="O999"/>
      <c r="P999"/>
      <c r="Q999"/>
      <c r="R999"/>
      <c r="S999"/>
      <c r="T999"/>
      <c r="U999"/>
      <c r="V999"/>
      <c r="W999"/>
      <c r="X999"/>
      <c r="Y999"/>
      <c r="Z999"/>
      <c r="AA999"/>
      <c r="AB999"/>
      <c r="AC999"/>
      <c r="AD999"/>
      <c r="AE999"/>
      <c r="AF999"/>
      <c r="AG999"/>
      <c r="AH999"/>
      <c r="AI999"/>
      <c r="AJ999"/>
      <c r="AK999" s="351"/>
      <c r="AL999" s="351"/>
      <c r="AU999"/>
      <c r="AV999"/>
      <c r="AW999"/>
      <c r="AX999"/>
      <c r="AY999" s="280"/>
      <c r="AZ999"/>
      <c r="BA999"/>
      <c r="BB999"/>
      <c r="BC999"/>
      <c r="BD999"/>
      <c r="BM999" s="335"/>
    </row>
    <row r="1000" spans="1:65" ht="20" customHeight="1">
      <c r="I1000"/>
      <c r="J1000" s="45"/>
      <c r="K1000" s="514"/>
      <c r="L1000" s="45"/>
      <c r="M1000" s="45"/>
      <c r="N1000"/>
      <c r="O1000"/>
      <c r="P1000"/>
      <c r="Q1000"/>
      <c r="R1000"/>
      <c r="S1000"/>
      <c r="T1000"/>
      <c r="U1000"/>
      <c r="V1000"/>
      <c r="W1000"/>
      <c r="X1000"/>
      <c r="Y1000"/>
      <c r="Z1000"/>
      <c r="AA1000"/>
      <c r="AB1000"/>
      <c r="AC1000"/>
      <c r="AD1000"/>
      <c r="AE1000"/>
      <c r="AF1000"/>
      <c r="AG1000"/>
      <c r="AH1000"/>
      <c r="AI1000"/>
      <c r="AJ1000"/>
      <c r="AK1000" s="351"/>
      <c r="AL1000" s="351"/>
      <c r="AU1000"/>
      <c r="AV1000"/>
      <c r="AW1000"/>
      <c r="AX1000"/>
      <c r="AY1000" s="280"/>
      <c r="AZ1000"/>
      <c r="BA1000"/>
      <c r="BB1000"/>
      <c r="BC1000"/>
      <c r="BD1000"/>
      <c r="BM1000" s="335"/>
    </row>
    <row r="1001" spans="1:65" ht="20" customHeight="1">
      <c r="I1001"/>
      <c r="J1001" s="45"/>
      <c r="K1001" s="514"/>
      <c r="L1001" s="45"/>
      <c r="M1001" s="45"/>
      <c r="N1001"/>
      <c r="O1001"/>
      <c r="P1001"/>
      <c r="Q1001"/>
      <c r="R1001"/>
      <c r="S1001"/>
      <c r="T1001"/>
      <c r="U1001"/>
      <c r="V1001"/>
      <c r="W1001"/>
      <c r="X1001"/>
      <c r="Y1001"/>
      <c r="Z1001"/>
      <c r="AA1001"/>
      <c r="AB1001"/>
      <c r="AC1001"/>
      <c r="AD1001"/>
      <c r="AE1001"/>
      <c r="AF1001"/>
      <c r="AG1001"/>
      <c r="AH1001"/>
      <c r="AI1001"/>
      <c r="AJ1001"/>
      <c r="AK1001" s="351"/>
      <c r="AL1001" s="351"/>
      <c r="AU1001"/>
      <c r="AV1001"/>
      <c r="AW1001"/>
      <c r="AX1001"/>
      <c r="AY1001" s="280"/>
      <c r="AZ1001"/>
      <c r="BA1001"/>
      <c r="BB1001"/>
      <c r="BC1001"/>
      <c r="BD1001"/>
      <c r="BM1001" s="335"/>
    </row>
    <row r="1002" spans="1:65" ht="20" customHeight="1">
      <c r="I1002"/>
      <c r="J1002" s="45"/>
      <c r="K1002" s="514"/>
      <c r="L1002" s="45"/>
      <c r="M1002" s="45"/>
      <c r="N1002"/>
      <c r="O1002"/>
      <c r="P1002"/>
      <c r="Q1002"/>
      <c r="R1002"/>
      <c r="S1002"/>
      <c r="T1002"/>
      <c r="U1002"/>
      <c r="V1002"/>
      <c r="W1002"/>
      <c r="X1002"/>
      <c r="Y1002"/>
      <c r="Z1002"/>
      <c r="AA1002"/>
      <c r="AB1002"/>
      <c r="AC1002"/>
      <c r="AD1002"/>
      <c r="AE1002"/>
      <c r="AF1002"/>
      <c r="AG1002"/>
      <c r="AH1002"/>
      <c r="AI1002"/>
      <c r="AJ1002"/>
      <c r="AK1002" s="351"/>
      <c r="AL1002" s="351"/>
      <c r="AU1002"/>
      <c r="AV1002"/>
      <c r="AW1002"/>
      <c r="AX1002"/>
      <c r="AY1002" s="280"/>
      <c r="AZ1002"/>
      <c r="BA1002"/>
      <c r="BB1002"/>
      <c r="BC1002"/>
      <c r="BD1002"/>
      <c r="BM1002" s="335"/>
    </row>
    <row r="1003" spans="1:65" ht="20" customHeight="1">
      <c r="I1003"/>
      <c r="J1003" s="45"/>
      <c r="K1003" s="514"/>
      <c r="L1003" s="45"/>
      <c r="M1003" s="45"/>
      <c r="N1003"/>
      <c r="O1003"/>
      <c r="P1003"/>
      <c r="Q1003"/>
      <c r="R1003"/>
      <c r="S1003"/>
      <c r="T1003"/>
      <c r="U1003"/>
      <c r="V1003"/>
      <c r="W1003"/>
      <c r="X1003"/>
      <c r="Y1003"/>
      <c r="Z1003"/>
      <c r="AA1003"/>
      <c r="AB1003"/>
      <c r="AC1003"/>
      <c r="AD1003"/>
      <c r="AE1003"/>
      <c r="AF1003"/>
      <c r="AG1003"/>
      <c r="AH1003"/>
      <c r="AI1003"/>
      <c r="AJ1003"/>
      <c r="AK1003" s="351"/>
      <c r="AL1003" s="351"/>
      <c r="AU1003"/>
      <c r="AV1003"/>
      <c r="AW1003"/>
      <c r="AX1003"/>
      <c r="AY1003" s="280"/>
      <c r="AZ1003"/>
      <c r="BA1003"/>
      <c r="BB1003"/>
      <c r="BC1003"/>
      <c r="BD1003"/>
      <c r="BM1003" s="335"/>
    </row>
    <row r="1004" spans="1:65" ht="20" customHeight="1">
      <c r="I1004"/>
      <c r="J1004" s="45"/>
      <c r="K1004" s="514"/>
      <c r="L1004" s="45"/>
      <c r="M1004" s="45"/>
      <c r="N1004"/>
      <c r="O1004"/>
      <c r="P1004"/>
      <c r="Q1004"/>
      <c r="R1004"/>
      <c r="S1004"/>
      <c r="T1004"/>
      <c r="U1004"/>
      <c r="V1004"/>
      <c r="W1004"/>
      <c r="X1004"/>
      <c r="Y1004"/>
      <c r="Z1004"/>
      <c r="AA1004"/>
      <c r="AB1004"/>
      <c r="AC1004"/>
      <c r="AD1004"/>
      <c r="AE1004"/>
      <c r="AF1004"/>
      <c r="AG1004"/>
      <c r="AH1004"/>
      <c r="AI1004"/>
      <c r="AJ1004"/>
      <c r="AK1004" s="351"/>
      <c r="AL1004" s="351"/>
      <c r="AM1004" s="356">
        <f>AM12</f>
        <v>0</v>
      </c>
      <c r="AN1004" s="356">
        <f>AN14</f>
        <v>0</v>
      </c>
      <c r="AO1004" s="356">
        <f>AO16</f>
        <v>0</v>
      </c>
      <c r="AP1004" s="378">
        <f>AP18</f>
        <v>0</v>
      </c>
      <c r="AU1004"/>
      <c r="AV1004"/>
      <c r="AW1004"/>
      <c r="AX1004"/>
      <c r="AY1004" s="280"/>
      <c r="AZ1004"/>
      <c r="BA1004"/>
      <c r="BB1004"/>
      <c r="BC1004"/>
      <c r="BD1004"/>
      <c r="BM1004" s="335"/>
    </row>
    <row r="1005" spans="1:65" ht="20" customHeight="1">
      <c r="I1005"/>
      <c r="J1005" s="45"/>
      <c r="K1005" s="514"/>
      <c r="L1005" s="45"/>
      <c r="M1005" s="45"/>
      <c r="N1005"/>
      <c r="O1005"/>
      <c r="P1005"/>
      <c r="Q1005"/>
      <c r="R1005"/>
      <c r="S1005"/>
      <c r="T1005"/>
      <c r="U1005"/>
      <c r="V1005"/>
      <c r="W1005"/>
      <c r="X1005"/>
      <c r="Y1005"/>
      <c r="Z1005"/>
      <c r="AA1005"/>
      <c r="AB1005"/>
      <c r="AC1005"/>
      <c r="AD1005"/>
      <c r="AE1005"/>
      <c r="AF1005"/>
      <c r="AG1005"/>
      <c r="AI1005"/>
      <c r="AJ1005"/>
      <c r="AK1005" s="351"/>
      <c r="AM1005" s="356">
        <f t="shared" ref="AM1005" si="344">AM22</f>
        <v>0</v>
      </c>
      <c r="AN1005" s="356">
        <f t="shared" ref="AN1005" si="345">AN24</f>
        <v>0</v>
      </c>
      <c r="AO1005" s="356">
        <f t="shared" ref="AO1005" si="346">AO26</f>
        <v>0</v>
      </c>
      <c r="AP1005" s="378">
        <f t="shared" ref="AP1005" si="347">AP28</f>
        <v>0</v>
      </c>
      <c r="BM1005" s="335"/>
    </row>
    <row r="1006" spans="1:65" ht="20" customHeight="1">
      <c r="I1006"/>
      <c r="J1006" s="45"/>
      <c r="K1006" s="514"/>
      <c r="L1006" s="45"/>
      <c r="M1006" s="45"/>
      <c r="N1006"/>
      <c r="O1006"/>
      <c r="P1006"/>
      <c r="Q1006"/>
      <c r="R1006"/>
      <c r="S1006"/>
      <c r="T1006"/>
      <c r="U1006"/>
      <c r="V1006"/>
      <c r="W1006"/>
      <c r="X1006"/>
      <c r="Y1006"/>
      <c r="Z1006"/>
      <c r="AA1006"/>
      <c r="AB1006"/>
      <c r="AC1006"/>
      <c r="AD1006"/>
      <c r="AE1006"/>
      <c r="AF1006"/>
      <c r="AG1006"/>
      <c r="AI1006"/>
      <c r="AJ1006"/>
      <c r="AK1006" s="351"/>
      <c r="AM1006" s="356">
        <f>AM32</f>
        <v>0</v>
      </c>
      <c r="AN1006" s="356">
        <f>AN34</f>
        <v>0</v>
      </c>
      <c r="AO1006" s="356">
        <f>AO36</f>
        <v>0</v>
      </c>
      <c r="AP1006" s="378">
        <f>AP38</f>
        <v>0</v>
      </c>
      <c r="BM1006" s="335"/>
    </row>
    <row r="1007" spans="1:65" ht="20" customHeight="1">
      <c r="I1007"/>
      <c r="J1007" s="45"/>
      <c r="K1007" s="514"/>
      <c r="L1007" s="45"/>
      <c r="M1007" s="45"/>
      <c r="N1007"/>
      <c r="O1007"/>
      <c r="P1007"/>
      <c r="Q1007"/>
      <c r="R1007"/>
      <c r="S1007"/>
      <c r="T1007"/>
      <c r="U1007"/>
      <c r="V1007"/>
      <c r="W1007"/>
      <c r="X1007"/>
      <c r="Y1007"/>
      <c r="Z1007"/>
      <c r="AA1007"/>
      <c r="AB1007"/>
      <c r="AC1007"/>
      <c r="AD1007"/>
      <c r="AE1007"/>
      <c r="AF1007"/>
      <c r="AG1007"/>
      <c r="AI1007"/>
      <c r="AJ1007"/>
      <c r="AK1007" s="351"/>
      <c r="AM1007" s="356">
        <f>AM42</f>
        <v>0</v>
      </c>
      <c r="AN1007" s="356">
        <f>AN44</f>
        <v>0</v>
      </c>
      <c r="AO1007" s="356">
        <f>AO46</f>
        <v>0</v>
      </c>
      <c r="AP1007" s="378">
        <f>AP48</f>
        <v>0</v>
      </c>
      <c r="BM1007" s="335"/>
    </row>
    <row r="1008" spans="1:65" ht="20" customHeight="1">
      <c r="I1008"/>
      <c r="J1008" s="45"/>
      <c r="K1008" s="514"/>
      <c r="L1008" s="45"/>
      <c r="M1008" s="45"/>
      <c r="N1008"/>
      <c r="O1008"/>
      <c r="P1008"/>
      <c r="Q1008"/>
      <c r="R1008"/>
      <c r="S1008"/>
      <c r="T1008"/>
      <c r="U1008"/>
      <c r="V1008"/>
      <c r="W1008"/>
      <c r="X1008"/>
      <c r="Y1008"/>
      <c r="Z1008"/>
      <c r="AA1008"/>
      <c r="AB1008"/>
      <c r="AC1008"/>
      <c r="AD1008"/>
      <c r="AE1008"/>
      <c r="AF1008"/>
      <c r="AG1008"/>
      <c r="AI1008"/>
      <c r="AJ1008"/>
      <c r="AK1008" s="351"/>
      <c r="AM1008" s="356">
        <f>AM52</f>
        <v>0</v>
      </c>
      <c r="AN1008" s="356">
        <f>AN54</f>
        <v>0</v>
      </c>
      <c r="AO1008" s="356">
        <f>AO56</f>
        <v>0</v>
      </c>
      <c r="AP1008" s="378">
        <f>AP58</f>
        <v>0</v>
      </c>
      <c r="BM1008" s="335"/>
    </row>
    <row r="1009" spans="9:65" ht="20" customHeight="1">
      <c r="I1009"/>
      <c r="J1009" s="45"/>
      <c r="K1009" s="514"/>
      <c r="L1009" s="45"/>
      <c r="M1009" s="45"/>
      <c r="N1009"/>
      <c r="O1009"/>
      <c r="P1009"/>
      <c r="Q1009"/>
      <c r="R1009"/>
      <c r="S1009"/>
      <c r="T1009"/>
      <c r="U1009"/>
      <c r="V1009"/>
      <c r="W1009"/>
      <c r="X1009"/>
      <c r="Y1009"/>
      <c r="Z1009"/>
      <c r="AA1009"/>
      <c r="AB1009"/>
      <c r="AC1009"/>
      <c r="AD1009"/>
      <c r="AE1009"/>
      <c r="AF1009"/>
      <c r="AG1009"/>
      <c r="AI1009"/>
      <c r="AJ1009"/>
      <c r="AK1009" s="351"/>
      <c r="AM1009" s="356">
        <f>AM62</f>
        <v>0</v>
      </c>
      <c r="AN1009" s="356">
        <f>AN64</f>
        <v>0</v>
      </c>
      <c r="AO1009" s="356">
        <f>AO66</f>
        <v>0</v>
      </c>
      <c r="AP1009" s="378">
        <f>AP68</f>
        <v>0</v>
      </c>
      <c r="BM1009" s="335"/>
    </row>
    <row r="1010" spans="9:65" ht="20" customHeight="1">
      <c r="I1010"/>
      <c r="J1010" s="45"/>
      <c r="K1010" s="514"/>
      <c r="L1010" s="45"/>
      <c r="M1010" s="45"/>
      <c r="N1010"/>
      <c r="O1010"/>
      <c r="P1010"/>
      <c r="Q1010"/>
      <c r="R1010"/>
      <c r="S1010"/>
      <c r="T1010"/>
      <c r="U1010"/>
      <c r="V1010"/>
      <c r="W1010"/>
      <c r="X1010"/>
      <c r="Y1010"/>
      <c r="Z1010"/>
      <c r="AA1010"/>
      <c r="AB1010"/>
      <c r="AC1010"/>
      <c r="AD1010"/>
      <c r="AE1010"/>
      <c r="AF1010"/>
      <c r="AG1010"/>
      <c r="AI1010"/>
      <c r="AJ1010"/>
      <c r="AK1010" s="351"/>
      <c r="AM1010" s="356">
        <f>AM72</f>
        <v>0</v>
      </c>
      <c r="AN1010" s="356">
        <f>AN74</f>
        <v>0</v>
      </c>
      <c r="AO1010" s="356">
        <f>AO76</f>
        <v>0</v>
      </c>
      <c r="AP1010" s="378">
        <f>AP78</f>
        <v>0</v>
      </c>
      <c r="BM1010" s="335"/>
    </row>
    <row r="1011" spans="9:65" ht="20" customHeight="1">
      <c r="I1011"/>
      <c r="J1011" s="45"/>
      <c r="K1011" s="514"/>
      <c r="L1011" s="45"/>
      <c r="M1011" s="45"/>
      <c r="N1011"/>
      <c r="O1011"/>
      <c r="P1011"/>
      <c r="Q1011"/>
      <c r="R1011"/>
      <c r="S1011"/>
      <c r="T1011"/>
      <c r="U1011"/>
      <c r="V1011"/>
      <c r="W1011"/>
      <c r="X1011"/>
      <c r="Y1011"/>
      <c r="Z1011"/>
      <c r="AA1011"/>
      <c r="AB1011"/>
      <c r="AC1011"/>
      <c r="AD1011"/>
      <c r="AE1011"/>
      <c r="AF1011"/>
      <c r="AG1011"/>
      <c r="AI1011"/>
      <c r="AJ1011"/>
      <c r="AK1011" s="351"/>
      <c r="AM1011" s="356">
        <f>AM82</f>
        <v>0</v>
      </c>
      <c r="AN1011" s="356">
        <f>AN84</f>
        <v>0</v>
      </c>
      <c r="AO1011" s="356">
        <f>AO86</f>
        <v>0</v>
      </c>
      <c r="AP1011" s="378">
        <f>AP88</f>
        <v>0</v>
      </c>
      <c r="BM1011" s="335"/>
    </row>
    <row r="1012" spans="9:65" ht="20" customHeight="1">
      <c r="I1012"/>
      <c r="J1012" s="45"/>
      <c r="K1012" s="514"/>
      <c r="L1012" s="45"/>
      <c r="M1012" s="45"/>
      <c r="N1012"/>
      <c r="O1012"/>
      <c r="P1012"/>
      <c r="Q1012"/>
      <c r="R1012"/>
      <c r="S1012"/>
      <c r="T1012"/>
      <c r="U1012"/>
      <c r="V1012"/>
      <c r="W1012"/>
      <c r="X1012"/>
      <c r="Y1012"/>
      <c r="Z1012"/>
      <c r="AA1012"/>
      <c r="AB1012"/>
      <c r="AC1012"/>
      <c r="AD1012"/>
      <c r="AE1012"/>
      <c r="AF1012"/>
      <c r="AG1012"/>
      <c r="AI1012"/>
      <c r="AJ1012"/>
      <c r="AK1012" s="351"/>
      <c r="AM1012" s="356">
        <f>AM92</f>
        <v>0</v>
      </c>
      <c r="AN1012" s="356">
        <f>AN94</f>
        <v>0</v>
      </c>
      <c r="AO1012" s="356">
        <f>AO96</f>
        <v>0</v>
      </c>
      <c r="AP1012" s="378">
        <f>AP98</f>
        <v>0</v>
      </c>
      <c r="BM1012" s="335"/>
    </row>
    <row r="1013" spans="9:65" ht="20" customHeight="1">
      <c r="I1013"/>
      <c r="J1013" s="45"/>
      <c r="K1013" s="514"/>
      <c r="L1013" s="45"/>
      <c r="M1013" s="45"/>
      <c r="N1013"/>
      <c r="O1013"/>
      <c r="P1013"/>
      <c r="Q1013"/>
      <c r="R1013"/>
      <c r="S1013"/>
      <c r="T1013"/>
      <c r="U1013"/>
      <c r="V1013"/>
      <c r="W1013"/>
      <c r="X1013"/>
      <c r="Y1013"/>
      <c r="Z1013"/>
      <c r="AA1013"/>
      <c r="AB1013"/>
      <c r="AC1013"/>
      <c r="AD1013"/>
      <c r="AE1013"/>
      <c r="AF1013"/>
      <c r="AG1013"/>
      <c r="AI1013"/>
      <c r="AJ1013"/>
      <c r="AK1013" s="351"/>
      <c r="AM1013" s="356">
        <f>AM102</f>
        <v>0</v>
      </c>
      <c r="AN1013" s="356">
        <f>AN104</f>
        <v>0</v>
      </c>
      <c r="AO1013" s="356">
        <f>AO106</f>
        <v>0</v>
      </c>
      <c r="AP1013" s="378">
        <f>AP108</f>
        <v>0</v>
      </c>
      <c r="BM1013" s="335"/>
    </row>
    <row r="1014" spans="9:65" ht="20" customHeight="1">
      <c r="I1014"/>
      <c r="J1014" s="45"/>
      <c r="K1014" s="514"/>
      <c r="L1014" s="45"/>
      <c r="M1014" s="45"/>
      <c r="N1014"/>
      <c r="O1014"/>
      <c r="P1014"/>
      <c r="Q1014"/>
      <c r="R1014"/>
      <c r="S1014"/>
      <c r="T1014"/>
      <c r="U1014"/>
      <c r="V1014"/>
      <c r="W1014"/>
      <c r="X1014"/>
      <c r="Y1014"/>
      <c r="Z1014"/>
      <c r="AA1014"/>
      <c r="AB1014"/>
      <c r="AC1014"/>
      <c r="AD1014"/>
      <c r="AE1014"/>
      <c r="AF1014"/>
      <c r="AG1014"/>
      <c r="AI1014"/>
      <c r="AJ1014"/>
      <c r="AK1014" s="351"/>
      <c r="AM1014" s="356">
        <f>AM112</f>
        <v>0</v>
      </c>
      <c r="AN1014" s="356">
        <f>AN114</f>
        <v>0</v>
      </c>
      <c r="AO1014" s="356">
        <f>AO116</f>
        <v>0</v>
      </c>
      <c r="AP1014" s="378">
        <f>AP118</f>
        <v>0</v>
      </c>
      <c r="BM1014" s="335"/>
    </row>
    <row r="1015" spans="9:65" ht="20" customHeight="1">
      <c r="I1015"/>
      <c r="J1015" s="45"/>
      <c r="K1015" s="514"/>
      <c r="L1015" s="45"/>
      <c r="M1015" s="45"/>
      <c r="N1015"/>
      <c r="O1015"/>
      <c r="P1015"/>
      <c r="Q1015"/>
      <c r="R1015"/>
      <c r="S1015"/>
      <c r="T1015"/>
      <c r="U1015"/>
      <c r="V1015"/>
      <c r="W1015"/>
      <c r="X1015"/>
      <c r="Y1015"/>
      <c r="Z1015"/>
      <c r="AA1015"/>
      <c r="AB1015"/>
      <c r="AC1015"/>
      <c r="AD1015"/>
      <c r="AE1015"/>
      <c r="AF1015"/>
      <c r="AG1015"/>
      <c r="AI1015"/>
      <c r="AJ1015"/>
      <c r="AK1015" s="351"/>
      <c r="AM1015" s="356">
        <f>AM122</f>
        <v>0</v>
      </c>
      <c r="AN1015" s="356">
        <f>AN124</f>
        <v>0</v>
      </c>
      <c r="AO1015" s="356">
        <f>AO126</f>
        <v>0</v>
      </c>
      <c r="AP1015" s="378">
        <f>AP128</f>
        <v>0</v>
      </c>
      <c r="BM1015" s="335"/>
    </row>
    <row r="1016" spans="9:65" ht="20" customHeight="1">
      <c r="I1016"/>
      <c r="J1016" s="45"/>
      <c r="K1016" s="514"/>
      <c r="L1016" s="45"/>
      <c r="M1016" s="45"/>
      <c r="N1016"/>
      <c r="O1016"/>
      <c r="P1016"/>
      <c r="Q1016"/>
      <c r="R1016"/>
      <c r="S1016"/>
      <c r="T1016"/>
      <c r="U1016"/>
      <c r="V1016"/>
      <c r="W1016"/>
      <c r="X1016"/>
      <c r="Y1016"/>
      <c r="Z1016"/>
      <c r="AA1016"/>
      <c r="AB1016"/>
      <c r="AC1016"/>
      <c r="AD1016"/>
      <c r="AE1016"/>
      <c r="AF1016"/>
      <c r="AG1016"/>
      <c r="AI1016"/>
      <c r="AJ1016"/>
      <c r="AK1016" s="351"/>
      <c r="AM1016" s="356">
        <f>AM132</f>
        <v>0</v>
      </c>
      <c r="AN1016" s="356">
        <f>AN134</f>
        <v>0</v>
      </c>
      <c r="AO1016" s="356">
        <f>AO136</f>
        <v>0</v>
      </c>
      <c r="AP1016" s="378">
        <f>AP138</f>
        <v>0</v>
      </c>
      <c r="BM1016" s="335"/>
    </row>
    <row r="1017" spans="9:65" ht="20" customHeight="1">
      <c r="I1017"/>
      <c r="J1017" s="45"/>
      <c r="K1017" s="514"/>
      <c r="L1017" s="45"/>
      <c r="M1017" s="45"/>
      <c r="N1017"/>
      <c r="O1017"/>
      <c r="P1017"/>
      <c r="Q1017"/>
      <c r="R1017"/>
      <c r="S1017"/>
      <c r="T1017"/>
      <c r="U1017"/>
      <c r="V1017"/>
      <c r="W1017"/>
      <c r="X1017"/>
      <c r="Y1017"/>
      <c r="Z1017"/>
      <c r="AA1017"/>
      <c r="AB1017"/>
      <c r="AC1017"/>
      <c r="AD1017"/>
      <c r="AE1017"/>
      <c r="AF1017"/>
      <c r="AG1017"/>
      <c r="AI1017"/>
      <c r="AJ1017"/>
      <c r="AK1017" s="351"/>
      <c r="AM1017" s="356">
        <f>AM142</f>
        <v>0</v>
      </c>
      <c r="AN1017" s="356">
        <f>AN144</f>
        <v>0</v>
      </c>
      <c r="AO1017" s="356">
        <f>AO146</f>
        <v>0</v>
      </c>
      <c r="AP1017" s="378">
        <f>AP148</f>
        <v>0</v>
      </c>
      <c r="BM1017" s="335"/>
    </row>
    <row r="1018" spans="9:65" ht="20" customHeight="1">
      <c r="I1018"/>
      <c r="J1018" s="45"/>
      <c r="K1018" s="514"/>
      <c r="L1018" s="45"/>
      <c r="M1018" s="45"/>
      <c r="N1018"/>
      <c r="O1018"/>
      <c r="P1018"/>
      <c r="Q1018"/>
      <c r="R1018"/>
      <c r="S1018"/>
      <c r="T1018"/>
      <c r="U1018"/>
      <c r="V1018"/>
      <c r="W1018"/>
      <c r="X1018"/>
      <c r="Y1018"/>
      <c r="Z1018"/>
      <c r="AA1018"/>
      <c r="AB1018"/>
      <c r="AC1018"/>
      <c r="AD1018"/>
      <c r="AE1018"/>
      <c r="AF1018"/>
      <c r="AG1018"/>
      <c r="AI1018"/>
      <c r="AJ1018"/>
      <c r="AK1018" s="351"/>
      <c r="AM1018" s="356">
        <f>AM152</f>
        <v>0</v>
      </c>
      <c r="AN1018" s="356">
        <f>AN154</f>
        <v>0</v>
      </c>
      <c r="AO1018" s="356">
        <f>AO156</f>
        <v>0</v>
      </c>
      <c r="AP1018" s="378">
        <f>AP158</f>
        <v>0</v>
      </c>
      <c r="BM1018" s="335"/>
    </row>
    <row r="1019" spans="9:65" ht="20" customHeight="1">
      <c r="I1019"/>
      <c r="J1019" s="45"/>
      <c r="K1019" s="514"/>
      <c r="L1019" s="45"/>
      <c r="M1019" s="45"/>
      <c r="N1019"/>
      <c r="O1019"/>
      <c r="P1019"/>
      <c r="Q1019"/>
      <c r="R1019"/>
      <c r="S1019"/>
      <c r="AM1019" s="356">
        <f>AM162</f>
        <v>0</v>
      </c>
      <c r="AN1019" s="356">
        <f>AN164</f>
        <v>0</v>
      </c>
      <c r="AO1019" s="356">
        <f>AO166</f>
        <v>0</v>
      </c>
      <c r="AP1019" s="378">
        <f>AP168</f>
        <v>0</v>
      </c>
      <c r="BM1019" s="335"/>
    </row>
    <row r="1020" spans="9:65" ht="20" customHeight="1">
      <c r="I1020"/>
      <c r="J1020" s="45"/>
      <c r="K1020" s="514"/>
      <c r="L1020" s="45"/>
      <c r="M1020" s="45"/>
      <c r="N1020"/>
      <c r="O1020"/>
      <c r="P1020"/>
      <c r="Q1020"/>
      <c r="R1020"/>
      <c r="S1020"/>
      <c r="AM1020" s="356">
        <f>AM172</f>
        <v>0</v>
      </c>
      <c r="AN1020" s="356">
        <f>AN174</f>
        <v>0</v>
      </c>
      <c r="AO1020" s="356">
        <f>AO176</f>
        <v>0</v>
      </c>
      <c r="AP1020" s="378">
        <f>AP178</f>
        <v>0</v>
      </c>
      <c r="BM1020" s="335"/>
    </row>
    <row r="1021" spans="9:65" ht="20" customHeight="1">
      <c r="I1021"/>
      <c r="J1021" s="45"/>
      <c r="K1021" s="514"/>
      <c r="L1021" s="45"/>
      <c r="M1021" s="45"/>
      <c r="N1021"/>
      <c r="O1021"/>
      <c r="P1021"/>
      <c r="Q1021"/>
      <c r="R1021"/>
      <c r="S1021"/>
      <c r="AM1021" s="356">
        <f>AM182</f>
        <v>0</v>
      </c>
      <c r="AN1021" s="356">
        <f>AN184</f>
        <v>0</v>
      </c>
      <c r="AO1021" s="356">
        <f>AO186</f>
        <v>0</v>
      </c>
      <c r="AP1021" s="378">
        <f>AP188</f>
        <v>0</v>
      </c>
      <c r="BM1021" s="335"/>
    </row>
    <row r="1022" spans="9:65" ht="20" customHeight="1">
      <c r="I1022"/>
      <c r="J1022" s="45"/>
      <c r="K1022" s="514"/>
      <c r="L1022" s="45"/>
      <c r="M1022" s="45"/>
      <c r="N1022"/>
      <c r="O1022"/>
      <c r="P1022"/>
      <c r="Q1022"/>
      <c r="R1022"/>
      <c r="S1022"/>
      <c r="AM1022" s="356">
        <f>AM192</f>
        <v>0</v>
      </c>
      <c r="AN1022" s="356">
        <f>AN194</f>
        <v>0</v>
      </c>
      <c r="AO1022" s="356">
        <f>AO196</f>
        <v>0</v>
      </c>
      <c r="AP1022" s="378">
        <f>AP198</f>
        <v>0</v>
      </c>
      <c r="BM1022" s="335"/>
    </row>
    <row r="1023" spans="9:65" ht="20" customHeight="1">
      <c r="I1023"/>
      <c r="J1023" s="45"/>
      <c r="K1023" s="514"/>
      <c r="L1023" s="45"/>
      <c r="M1023" s="45"/>
      <c r="N1023"/>
      <c r="O1023"/>
      <c r="P1023"/>
      <c r="Q1023"/>
      <c r="R1023"/>
      <c r="S1023"/>
      <c r="AM1023" s="356">
        <f>AM202</f>
        <v>0</v>
      </c>
      <c r="AN1023" s="356">
        <f>AN204</f>
        <v>0</v>
      </c>
      <c r="AO1023" s="356">
        <f>AO206</f>
        <v>0</v>
      </c>
      <c r="AP1023" s="378">
        <f>AP208</f>
        <v>0</v>
      </c>
      <c r="BM1023" s="335"/>
    </row>
    <row r="1024" spans="9:65" ht="20" customHeight="1">
      <c r="I1024"/>
      <c r="J1024" s="45"/>
      <c r="K1024" s="514"/>
      <c r="L1024" s="45"/>
      <c r="M1024" s="45"/>
      <c r="N1024"/>
      <c r="O1024"/>
      <c r="P1024"/>
      <c r="Q1024"/>
      <c r="R1024"/>
      <c r="S1024"/>
      <c r="AM1024" s="356">
        <f>AM212</f>
        <v>0</v>
      </c>
      <c r="AN1024" s="356">
        <f>AN214</f>
        <v>0</v>
      </c>
      <c r="AO1024" s="356">
        <f>AO216</f>
        <v>0</v>
      </c>
      <c r="AP1024" s="378">
        <f>AP218</f>
        <v>0</v>
      </c>
      <c r="BM1024" s="335"/>
    </row>
    <row r="1025" spans="9:65" ht="20" customHeight="1">
      <c r="I1025"/>
      <c r="J1025" s="45"/>
      <c r="K1025" s="514"/>
      <c r="L1025" s="45"/>
      <c r="M1025" s="45"/>
      <c r="N1025"/>
      <c r="O1025"/>
      <c r="P1025"/>
      <c r="Q1025"/>
      <c r="R1025"/>
      <c r="S1025"/>
      <c r="AM1025" s="356">
        <f>AM222</f>
        <v>0</v>
      </c>
      <c r="AN1025" s="356">
        <f>AN224</f>
        <v>0</v>
      </c>
      <c r="AO1025" s="356">
        <f>AO226</f>
        <v>0</v>
      </c>
      <c r="AP1025" s="378">
        <f>AP228</f>
        <v>0</v>
      </c>
      <c r="BM1025" s="335"/>
    </row>
    <row r="1026" spans="9:65" ht="20" customHeight="1">
      <c r="I1026"/>
      <c r="J1026" s="45"/>
      <c r="K1026" s="514"/>
      <c r="L1026" s="45"/>
      <c r="M1026" s="45"/>
      <c r="N1026"/>
      <c r="O1026"/>
      <c r="P1026"/>
      <c r="Q1026"/>
      <c r="R1026"/>
      <c r="S1026"/>
      <c r="AM1026" s="356">
        <f>AM232</f>
        <v>0</v>
      </c>
      <c r="AN1026" s="356">
        <f>AN234</f>
        <v>0</v>
      </c>
      <c r="AO1026" s="356">
        <f>AO236</f>
        <v>0</v>
      </c>
      <c r="AP1026" s="378">
        <f>AP238</f>
        <v>0</v>
      </c>
      <c r="BM1026" s="335"/>
    </row>
    <row r="1027" spans="9:65" ht="20" customHeight="1">
      <c r="I1027"/>
      <c r="J1027" s="45"/>
      <c r="K1027" s="514"/>
      <c r="L1027" s="45"/>
      <c r="M1027" s="45"/>
      <c r="N1027"/>
      <c r="O1027"/>
      <c r="P1027"/>
      <c r="Q1027"/>
      <c r="R1027"/>
      <c r="S1027"/>
      <c r="AM1027" s="356">
        <f>AM242</f>
        <v>0</v>
      </c>
      <c r="AN1027" s="356">
        <f>AN244</f>
        <v>0</v>
      </c>
      <c r="AO1027" s="356">
        <f>AO246</f>
        <v>0</v>
      </c>
      <c r="AP1027" s="378">
        <f>AP248</f>
        <v>0</v>
      </c>
      <c r="BM1027" s="335"/>
    </row>
    <row r="1028" spans="9:65" ht="20" customHeight="1">
      <c r="I1028"/>
      <c r="J1028" s="45"/>
      <c r="K1028" s="514"/>
      <c r="L1028" s="45"/>
      <c r="M1028" s="45"/>
      <c r="N1028"/>
      <c r="O1028"/>
      <c r="P1028"/>
      <c r="Q1028"/>
      <c r="R1028"/>
      <c r="S1028"/>
      <c r="AM1028" s="356">
        <f>AM252</f>
        <v>0</v>
      </c>
      <c r="AN1028" s="356">
        <f>AN254</f>
        <v>0</v>
      </c>
      <c r="AO1028" s="356">
        <f>AO256</f>
        <v>0</v>
      </c>
      <c r="AP1028" s="378">
        <f>AP258</f>
        <v>0</v>
      </c>
      <c r="BM1028" s="335"/>
    </row>
    <row r="1029" spans="9:65" ht="20" customHeight="1">
      <c r="I1029"/>
      <c r="J1029" s="45"/>
      <c r="K1029" s="514"/>
      <c r="L1029" s="45"/>
      <c r="M1029" s="45"/>
      <c r="N1029"/>
      <c r="O1029"/>
      <c r="P1029"/>
      <c r="Q1029"/>
      <c r="R1029"/>
      <c r="S1029"/>
      <c r="AM1029" s="356">
        <f>AM262</f>
        <v>0</v>
      </c>
      <c r="AN1029" s="356">
        <f>AN264</f>
        <v>0</v>
      </c>
      <c r="AO1029" s="356">
        <f>AO266</f>
        <v>0</v>
      </c>
      <c r="AP1029" s="378">
        <f>AP268</f>
        <v>0</v>
      </c>
      <c r="BM1029" s="335"/>
    </row>
    <row r="1030" spans="9:65" ht="20" customHeight="1">
      <c r="I1030"/>
      <c r="J1030" s="45"/>
      <c r="K1030" s="514"/>
      <c r="L1030" s="45"/>
      <c r="M1030" s="45"/>
      <c r="N1030"/>
      <c r="O1030"/>
      <c r="P1030"/>
      <c r="Q1030"/>
      <c r="R1030"/>
      <c r="S1030"/>
      <c r="AM1030" s="356">
        <f>AM272</f>
        <v>0</v>
      </c>
      <c r="AN1030" s="356">
        <f>AN274</f>
        <v>0</v>
      </c>
      <c r="AO1030" s="356">
        <f>AO276</f>
        <v>0</v>
      </c>
      <c r="AP1030" s="378">
        <f>AP278</f>
        <v>0</v>
      </c>
      <c r="BM1030" s="335"/>
    </row>
    <row r="1031" spans="9:65" ht="20" customHeight="1">
      <c r="I1031"/>
      <c r="J1031" s="45"/>
      <c r="K1031" s="514"/>
      <c r="L1031" s="45"/>
      <c r="M1031" s="45"/>
      <c r="N1031"/>
      <c r="O1031"/>
      <c r="P1031"/>
      <c r="Q1031"/>
      <c r="R1031"/>
      <c r="S1031"/>
      <c r="AM1031" s="356">
        <f>AM282</f>
        <v>0</v>
      </c>
      <c r="AN1031" s="356">
        <f>AN284</f>
        <v>0</v>
      </c>
      <c r="AO1031" s="356">
        <f>AO286</f>
        <v>0</v>
      </c>
      <c r="AP1031" s="378">
        <f>AP288</f>
        <v>0</v>
      </c>
      <c r="BM1031" s="335"/>
    </row>
    <row r="1032" spans="9:65" ht="20" customHeight="1">
      <c r="I1032"/>
      <c r="J1032" s="45"/>
      <c r="K1032" s="514"/>
      <c r="L1032" s="45"/>
      <c r="M1032" s="45"/>
      <c r="N1032"/>
      <c r="O1032"/>
      <c r="P1032"/>
      <c r="Q1032"/>
      <c r="R1032"/>
      <c r="S1032"/>
      <c r="AM1032" s="356">
        <f>AM292</f>
        <v>0</v>
      </c>
      <c r="AN1032" s="356">
        <f>AN294</f>
        <v>0</v>
      </c>
      <c r="AO1032" s="356">
        <f>AO296</f>
        <v>0</v>
      </c>
      <c r="AP1032" s="378">
        <f>AP298</f>
        <v>0</v>
      </c>
      <c r="BM1032" s="335"/>
    </row>
    <row r="1033" spans="9:65" ht="20" customHeight="1">
      <c r="I1033"/>
      <c r="J1033" s="45"/>
      <c r="K1033" s="514"/>
      <c r="L1033" s="45"/>
      <c r="M1033" s="45"/>
      <c r="N1033"/>
      <c r="O1033"/>
      <c r="P1033"/>
      <c r="Q1033"/>
      <c r="R1033"/>
      <c r="S1033"/>
      <c r="AM1033" s="356">
        <f>AM302</f>
        <v>0</v>
      </c>
      <c r="AN1033" s="356">
        <f>AN304</f>
        <v>0</v>
      </c>
      <c r="AO1033" s="356">
        <f>AO306</f>
        <v>0</v>
      </c>
      <c r="AP1033" s="378">
        <f>AP308</f>
        <v>0</v>
      </c>
      <c r="BM1033" s="335"/>
    </row>
    <row r="1034" spans="9:65" ht="20" customHeight="1">
      <c r="I1034"/>
      <c r="J1034" s="45"/>
      <c r="K1034" s="514"/>
      <c r="L1034" s="45"/>
      <c r="M1034" s="45"/>
      <c r="N1034"/>
      <c r="O1034"/>
      <c r="P1034"/>
      <c r="Q1034"/>
      <c r="R1034"/>
      <c r="S1034"/>
      <c r="AM1034" s="356">
        <f>AM312</f>
        <v>0</v>
      </c>
      <c r="AN1034" s="356">
        <f>AN314</f>
        <v>0</v>
      </c>
      <c r="AO1034" s="356">
        <f>AO316</f>
        <v>0</v>
      </c>
      <c r="AP1034" s="378">
        <f>AP318</f>
        <v>0</v>
      </c>
      <c r="BM1034" s="335"/>
    </row>
    <row r="1035" spans="9:65" ht="20" customHeight="1">
      <c r="I1035"/>
      <c r="J1035" s="45"/>
      <c r="K1035" s="514"/>
      <c r="L1035" s="45"/>
      <c r="M1035" s="45"/>
      <c r="N1035"/>
      <c r="O1035"/>
      <c r="P1035"/>
      <c r="Q1035"/>
      <c r="R1035"/>
      <c r="S1035"/>
      <c r="AM1035" s="356">
        <f>AM322</f>
        <v>0</v>
      </c>
      <c r="AN1035" s="356">
        <f>AN324</f>
        <v>0</v>
      </c>
      <c r="AO1035" s="356">
        <f>AO326</f>
        <v>0</v>
      </c>
      <c r="AP1035" s="378">
        <f>AP328</f>
        <v>0</v>
      </c>
      <c r="BM1035" s="335"/>
    </row>
    <row r="1036" spans="9:65" ht="20" customHeight="1">
      <c r="I1036"/>
      <c r="J1036" s="45"/>
      <c r="K1036" s="514"/>
      <c r="L1036" s="45"/>
      <c r="M1036" s="45"/>
      <c r="N1036"/>
      <c r="O1036"/>
      <c r="P1036"/>
      <c r="Q1036"/>
      <c r="R1036"/>
      <c r="S1036"/>
      <c r="AM1036" s="356">
        <f>AM332</f>
        <v>0</v>
      </c>
      <c r="AN1036" s="356">
        <f>AN334</f>
        <v>0</v>
      </c>
      <c r="AO1036" s="356">
        <f>AO336</f>
        <v>0</v>
      </c>
      <c r="AP1036" s="378">
        <f>AP338</f>
        <v>0</v>
      </c>
      <c r="BM1036" s="335"/>
    </row>
    <row r="1037" spans="9:65" ht="20" customHeight="1">
      <c r="I1037"/>
      <c r="J1037" s="45"/>
      <c r="K1037" s="514"/>
      <c r="L1037" s="45"/>
      <c r="M1037" s="45"/>
      <c r="N1037"/>
      <c r="O1037"/>
      <c r="P1037"/>
      <c r="Q1037"/>
      <c r="R1037"/>
      <c r="S1037"/>
      <c r="AM1037" s="356">
        <f>AM342</f>
        <v>0</v>
      </c>
      <c r="AN1037" s="356">
        <f>AN344</f>
        <v>0</v>
      </c>
      <c r="AO1037" s="356">
        <f>AO346</f>
        <v>0</v>
      </c>
      <c r="AP1037" s="378">
        <f>AP348</f>
        <v>0</v>
      </c>
      <c r="BM1037" s="335"/>
    </row>
    <row r="1038" spans="9:65" ht="20" customHeight="1">
      <c r="I1038"/>
      <c r="J1038" s="45"/>
      <c r="K1038" s="514"/>
      <c r="L1038" s="45"/>
      <c r="M1038" s="45"/>
      <c r="N1038"/>
      <c r="O1038"/>
      <c r="P1038"/>
      <c r="Q1038"/>
      <c r="R1038"/>
      <c r="S1038"/>
      <c r="AM1038" s="356">
        <f>AM352</f>
        <v>0</v>
      </c>
      <c r="AN1038" s="356">
        <f>AN354</f>
        <v>0</v>
      </c>
      <c r="AO1038" s="356">
        <f>AO356</f>
        <v>0</v>
      </c>
      <c r="AP1038" s="378">
        <f>AP358</f>
        <v>0</v>
      </c>
      <c r="BM1038" s="335"/>
    </row>
    <row r="1039" spans="9:65" ht="20" customHeight="1">
      <c r="I1039"/>
      <c r="J1039" s="45"/>
      <c r="K1039" s="514"/>
      <c r="L1039" s="45"/>
      <c r="M1039" s="45"/>
      <c r="N1039"/>
      <c r="O1039"/>
      <c r="P1039"/>
      <c r="Q1039"/>
      <c r="R1039"/>
      <c r="S1039"/>
      <c r="AM1039" s="356">
        <f>AM362</f>
        <v>0</v>
      </c>
      <c r="AN1039" s="356">
        <f>AN364</f>
        <v>0</v>
      </c>
      <c r="AO1039" s="356">
        <f>AO366</f>
        <v>0</v>
      </c>
      <c r="AP1039" s="378">
        <f>AP368</f>
        <v>0</v>
      </c>
      <c r="BM1039" s="335"/>
    </row>
    <row r="1040" spans="9:65" ht="20" customHeight="1">
      <c r="I1040"/>
      <c r="J1040" s="45"/>
      <c r="K1040" s="514"/>
      <c r="L1040" s="45"/>
      <c r="M1040" s="45"/>
      <c r="N1040"/>
      <c r="O1040"/>
      <c r="P1040"/>
      <c r="Q1040"/>
      <c r="R1040"/>
      <c r="S1040"/>
      <c r="AM1040" s="356">
        <f>AM372</f>
        <v>0</v>
      </c>
      <c r="AN1040" s="356">
        <f>AN374</f>
        <v>0</v>
      </c>
      <c r="AO1040" s="356">
        <f>AO376</f>
        <v>0</v>
      </c>
      <c r="AP1040" s="378">
        <f>AP378</f>
        <v>0</v>
      </c>
      <c r="BM1040" s="335"/>
    </row>
    <row r="1041" spans="9:65" ht="20" customHeight="1">
      <c r="I1041"/>
      <c r="J1041" s="45"/>
      <c r="K1041" s="514"/>
      <c r="L1041" s="45"/>
      <c r="M1041" s="45"/>
      <c r="N1041"/>
      <c r="O1041"/>
      <c r="P1041"/>
      <c r="Q1041"/>
      <c r="R1041"/>
      <c r="S1041"/>
      <c r="AM1041" s="356">
        <f>AM382</f>
        <v>0</v>
      </c>
      <c r="AN1041" s="356">
        <f>AN384</f>
        <v>0</v>
      </c>
      <c r="AO1041" s="356">
        <f>AO386</f>
        <v>0</v>
      </c>
      <c r="AP1041" s="378">
        <f>AP388</f>
        <v>0</v>
      </c>
      <c r="BM1041" s="335"/>
    </row>
    <row r="1042" spans="9:65" ht="20" customHeight="1">
      <c r="I1042"/>
      <c r="J1042" s="45"/>
      <c r="K1042" s="514"/>
      <c r="L1042" s="45"/>
      <c r="M1042" s="45"/>
      <c r="N1042"/>
      <c r="O1042"/>
      <c r="P1042"/>
      <c r="Q1042"/>
      <c r="R1042"/>
      <c r="S1042"/>
      <c r="AM1042" s="356">
        <f>AM392</f>
        <v>0</v>
      </c>
      <c r="AN1042" s="356">
        <f>AN394</f>
        <v>0</v>
      </c>
      <c r="AO1042" s="356">
        <f>AO396</f>
        <v>0</v>
      </c>
      <c r="AP1042" s="378">
        <f>AP398</f>
        <v>0</v>
      </c>
      <c r="BM1042" s="335"/>
    </row>
    <row r="1043" spans="9:65" ht="20" customHeight="1">
      <c r="I1043"/>
      <c r="J1043" s="45"/>
      <c r="K1043" s="514"/>
      <c r="L1043" s="45"/>
      <c r="M1043" s="45"/>
      <c r="N1043"/>
      <c r="O1043"/>
      <c r="P1043"/>
      <c r="Q1043"/>
      <c r="R1043"/>
      <c r="S1043"/>
      <c r="AM1043" s="356">
        <f>AM402</f>
        <v>0</v>
      </c>
      <c r="AN1043" s="356">
        <f>AN404</f>
        <v>0</v>
      </c>
      <c r="AO1043" s="356">
        <f>AO406</f>
        <v>0</v>
      </c>
      <c r="AP1043" s="378">
        <f>AP408</f>
        <v>0</v>
      </c>
      <c r="BM1043" s="335"/>
    </row>
    <row r="1044" spans="9:65" ht="20" customHeight="1">
      <c r="I1044"/>
      <c r="J1044" s="45"/>
      <c r="K1044" s="514"/>
      <c r="L1044" s="45"/>
      <c r="M1044" s="45"/>
      <c r="N1044"/>
      <c r="O1044"/>
      <c r="P1044"/>
      <c r="Q1044"/>
      <c r="R1044"/>
      <c r="S1044"/>
      <c r="AM1044" s="356">
        <f>AM412</f>
        <v>0</v>
      </c>
      <c r="AN1044" s="356">
        <f>AN414</f>
        <v>0</v>
      </c>
      <c r="AO1044" s="356">
        <f>AO416</f>
        <v>0</v>
      </c>
      <c r="AP1044" s="378">
        <f>AP418</f>
        <v>0</v>
      </c>
      <c r="BM1044" s="335"/>
    </row>
    <row r="1045" spans="9:65" ht="20" customHeight="1">
      <c r="I1045"/>
      <c r="J1045" s="45"/>
      <c r="K1045" s="514"/>
      <c r="L1045" s="45"/>
      <c r="M1045" s="45"/>
      <c r="N1045"/>
      <c r="O1045"/>
      <c r="P1045"/>
      <c r="Q1045"/>
      <c r="R1045"/>
      <c r="S1045"/>
      <c r="AM1045" s="356">
        <f>AM422</f>
        <v>0</v>
      </c>
      <c r="AN1045" s="356">
        <f>AN424</f>
        <v>0</v>
      </c>
      <c r="AO1045" s="356">
        <f>AO426</f>
        <v>0</v>
      </c>
      <c r="AP1045" s="378">
        <f>AP428</f>
        <v>0</v>
      </c>
      <c r="BM1045" s="335"/>
    </row>
    <row r="1046" spans="9:65" ht="20" customHeight="1">
      <c r="I1046"/>
      <c r="J1046" s="45"/>
      <c r="K1046" s="514"/>
      <c r="L1046" s="45"/>
      <c r="M1046" s="45"/>
      <c r="N1046"/>
      <c r="O1046"/>
      <c r="P1046"/>
      <c r="Q1046"/>
      <c r="R1046"/>
      <c r="S1046"/>
      <c r="AM1046" s="356">
        <f>AM432</f>
        <v>0</v>
      </c>
      <c r="AN1046" s="356">
        <f>AN434</f>
        <v>0</v>
      </c>
      <c r="AO1046" s="356">
        <f>AO436</f>
        <v>0</v>
      </c>
      <c r="AP1046" s="378">
        <f>AP438</f>
        <v>0</v>
      </c>
      <c r="BM1046" s="335"/>
    </row>
    <row r="1047" spans="9:65" ht="20" customHeight="1">
      <c r="I1047"/>
      <c r="J1047" s="45"/>
      <c r="K1047" s="514"/>
      <c r="L1047" s="45"/>
      <c r="M1047" s="45"/>
      <c r="N1047"/>
      <c r="O1047"/>
      <c r="P1047"/>
      <c r="Q1047"/>
      <c r="R1047"/>
      <c r="S1047"/>
      <c r="AM1047" s="356">
        <f>AM442</f>
        <v>0</v>
      </c>
      <c r="AN1047" s="356">
        <f>AN444</f>
        <v>0</v>
      </c>
      <c r="AO1047" s="356">
        <f>AO446</f>
        <v>0</v>
      </c>
      <c r="AP1047" s="378">
        <f>AP448</f>
        <v>0</v>
      </c>
      <c r="BM1047" s="335"/>
    </row>
    <row r="1048" spans="9:65" ht="20" customHeight="1">
      <c r="I1048"/>
      <c r="J1048" s="45"/>
      <c r="K1048" s="514"/>
      <c r="L1048" s="45"/>
      <c r="M1048" s="45"/>
      <c r="N1048"/>
      <c r="O1048"/>
      <c r="P1048"/>
      <c r="Q1048"/>
      <c r="R1048"/>
      <c r="S1048"/>
      <c r="AM1048" s="356">
        <f>AM452</f>
        <v>0</v>
      </c>
      <c r="AN1048" s="356">
        <f>AN454</f>
        <v>0</v>
      </c>
      <c r="AO1048" s="356">
        <f>AO456</f>
        <v>0</v>
      </c>
      <c r="AP1048" s="378">
        <f>AP458</f>
        <v>0</v>
      </c>
      <c r="BM1048" s="335"/>
    </row>
    <row r="1049" spans="9:65" ht="20" customHeight="1">
      <c r="I1049"/>
      <c r="J1049" s="45"/>
      <c r="K1049" s="514"/>
      <c r="L1049" s="45"/>
      <c r="M1049" s="45"/>
      <c r="N1049"/>
      <c r="O1049"/>
      <c r="P1049"/>
      <c r="Q1049"/>
      <c r="R1049"/>
      <c r="S1049"/>
      <c r="AM1049" s="356">
        <f>AM462</f>
        <v>0</v>
      </c>
      <c r="AN1049" s="356">
        <f>AN464</f>
        <v>0</v>
      </c>
      <c r="AO1049" s="356">
        <f>AO466</f>
        <v>0</v>
      </c>
      <c r="AP1049" s="378">
        <f>AP468</f>
        <v>0</v>
      </c>
      <c r="BM1049" s="335"/>
    </row>
    <row r="1050" spans="9:65" ht="20" customHeight="1">
      <c r="I1050"/>
      <c r="J1050" s="45"/>
      <c r="K1050" s="514"/>
      <c r="L1050" s="45"/>
      <c r="M1050" s="45"/>
      <c r="N1050"/>
      <c r="O1050"/>
      <c r="P1050"/>
      <c r="Q1050"/>
      <c r="R1050"/>
      <c r="S1050"/>
      <c r="AM1050" s="356">
        <f>AM472</f>
        <v>0</v>
      </c>
      <c r="AN1050" s="356">
        <f>AN474</f>
        <v>0</v>
      </c>
      <c r="AO1050" s="356">
        <f>AO476</f>
        <v>0</v>
      </c>
      <c r="AP1050" s="378">
        <f>AP478</f>
        <v>0</v>
      </c>
      <c r="BM1050" s="335"/>
    </row>
    <row r="1051" spans="9:65" ht="20" customHeight="1">
      <c r="I1051"/>
      <c r="J1051" s="45"/>
      <c r="K1051" s="514"/>
      <c r="L1051" s="45"/>
      <c r="M1051" s="45"/>
      <c r="N1051"/>
      <c r="O1051"/>
      <c r="P1051"/>
      <c r="Q1051"/>
      <c r="R1051"/>
      <c r="S1051"/>
      <c r="AM1051" s="356">
        <f>AM482</f>
        <v>0</v>
      </c>
      <c r="AN1051" s="356">
        <f>AN484</f>
        <v>0</v>
      </c>
      <c r="AO1051" s="356">
        <f>AO486</f>
        <v>0</v>
      </c>
      <c r="AP1051" s="378">
        <f>AP488</f>
        <v>0</v>
      </c>
      <c r="BM1051" s="335"/>
    </row>
    <row r="1052" spans="9:65" ht="20" customHeight="1">
      <c r="I1052"/>
      <c r="J1052" s="45"/>
      <c r="K1052" s="514"/>
      <c r="L1052" s="45"/>
      <c r="M1052" s="45"/>
      <c r="N1052"/>
      <c r="O1052"/>
      <c r="P1052"/>
      <c r="Q1052"/>
      <c r="R1052"/>
      <c r="AM1052" s="356">
        <f>AM492</f>
        <v>0</v>
      </c>
      <c r="AN1052" s="356">
        <f>AN494</f>
        <v>0</v>
      </c>
      <c r="AO1052" s="356">
        <f>AO496</f>
        <v>0</v>
      </c>
      <c r="AP1052" s="378">
        <f>AP498</f>
        <v>0</v>
      </c>
      <c r="BM1052" s="335"/>
    </row>
    <row r="1053" spans="9:65" ht="20" customHeight="1">
      <c r="I1053"/>
      <c r="J1053" s="45"/>
      <c r="K1053" s="514"/>
      <c r="L1053" s="45"/>
      <c r="M1053" s="45"/>
      <c r="N1053"/>
      <c r="O1053"/>
      <c r="P1053"/>
      <c r="Q1053"/>
      <c r="R1053"/>
      <c r="AM1053" s="356">
        <f>AM502</f>
        <v>0</v>
      </c>
      <c r="AN1053" s="356">
        <f>AN504</f>
        <v>0</v>
      </c>
      <c r="AO1053" s="356">
        <f>AO506</f>
        <v>0</v>
      </c>
      <c r="AP1053" s="378">
        <f>AP508</f>
        <v>0</v>
      </c>
      <c r="BM1053" s="335"/>
    </row>
    <row r="1054" spans="9:65" ht="20" customHeight="1">
      <c r="I1054"/>
      <c r="J1054" s="45"/>
      <c r="K1054" s="514"/>
      <c r="L1054" s="45"/>
      <c r="M1054" s="45"/>
      <c r="N1054"/>
      <c r="O1054"/>
      <c r="P1054"/>
      <c r="Q1054"/>
      <c r="R1054"/>
      <c r="AM1054" s="356">
        <f>AM512</f>
        <v>0</v>
      </c>
      <c r="AN1054" s="356">
        <f>AN514</f>
        <v>0</v>
      </c>
      <c r="AO1054" s="356">
        <f>AO516</f>
        <v>0</v>
      </c>
      <c r="AP1054" s="378">
        <f>AP518</f>
        <v>0</v>
      </c>
      <c r="BM1054" s="335"/>
    </row>
    <row r="1055" spans="9:65" ht="20" customHeight="1">
      <c r="I1055"/>
      <c r="J1055" s="45"/>
      <c r="K1055" s="514"/>
      <c r="L1055" s="45"/>
      <c r="M1055" s="45"/>
      <c r="N1055"/>
      <c r="O1055"/>
      <c r="P1055"/>
      <c r="Q1055"/>
      <c r="R1055"/>
      <c r="AM1055" s="356">
        <f>AM522</f>
        <v>0</v>
      </c>
      <c r="AN1055" s="356">
        <f>AN524</f>
        <v>0</v>
      </c>
      <c r="AO1055" s="356">
        <f>AO526</f>
        <v>0</v>
      </c>
      <c r="AP1055" s="378">
        <f>AP528</f>
        <v>0</v>
      </c>
      <c r="BM1055" s="335"/>
    </row>
    <row r="1056" spans="9:65" ht="20" customHeight="1">
      <c r="I1056"/>
      <c r="J1056" s="45"/>
      <c r="K1056" s="514"/>
      <c r="L1056" s="45"/>
      <c r="M1056" s="45"/>
      <c r="N1056"/>
      <c r="O1056"/>
      <c r="P1056"/>
      <c r="Q1056"/>
      <c r="R1056"/>
      <c r="AM1056" s="356">
        <f>AM532</f>
        <v>0</v>
      </c>
      <c r="AN1056" s="356">
        <f>AN534</f>
        <v>0</v>
      </c>
      <c r="AO1056" s="356">
        <f>AO536</f>
        <v>0</v>
      </c>
      <c r="AP1056" s="378">
        <f>AP538</f>
        <v>0</v>
      </c>
      <c r="BM1056" s="335"/>
    </row>
    <row r="1057" spans="9:65" ht="20" customHeight="1">
      <c r="I1057"/>
      <c r="J1057" s="45"/>
      <c r="K1057" s="514"/>
      <c r="L1057" s="45"/>
      <c r="M1057" s="45"/>
      <c r="N1057"/>
      <c r="O1057"/>
      <c r="P1057"/>
      <c r="Q1057"/>
      <c r="R1057"/>
      <c r="AM1057" s="356">
        <f>AM542</f>
        <v>0</v>
      </c>
      <c r="AN1057" s="356">
        <f>AN544</f>
        <v>0</v>
      </c>
      <c r="AO1057" s="356">
        <f>AO546</f>
        <v>0</v>
      </c>
      <c r="AP1057" s="378">
        <f>AP548</f>
        <v>0</v>
      </c>
      <c r="BM1057" s="335"/>
    </row>
    <row r="1058" spans="9:65" ht="20" customHeight="1">
      <c r="I1058"/>
      <c r="J1058" s="45"/>
      <c r="K1058" s="514"/>
      <c r="L1058" s="45"/>
      <c r="M1058" s="45"/>
      <c r="N1058"/>
      <c r="O1058"/>
      <c r="P1058"/>
      <c r="Q1058"/>
      <c r="R1058"/>
      <c r="AM1058" s="356">
        <f>AM552</f>
        <v>0</v>
      </c>
      <c r="AN1058" s="356">
        <f>AN554</f>
        <v>0</v>
      </c>
      <c r="AO1058" s="356">
        <f>AO556</f>
        <v>0</v>
      </c>
      <c r="AP1058" s="378">
        <f>AP558</f>
        <v>0</v>
      </c>
      <c r="BM1058" s="335"/>
    </row>
    <row r="1059" spans="9:65" ht="20" customHeight="1">
      <c r="I1059"/>
      <c r="J1059" s="45"/>
      <c r="K1059" s="514"/>
      <c r="L1059" s="45"/>
      <c r="M1059" s="45"/>
      <c r="N1059"/>
      <c r="O1059"/>
      <c r="P1059"/>
      <c r="Q1059"/>
      <c r="R1059"/>
      <c r="AM1059" s="356">
        <f>AM562</f>
        <v>0</v>
      </c>
      <c r="AN1059" s="356">
        <f>AN564</f>
        <v>0</v>
      </c>
      <c r="AO1059" s="356">
        <f>AO566</f>
        <v>0</v>
      </c>
      <c r="AP1059" s="378">
        <f>AP568</f>
        <v>0</v>
      </c>
      <c r="BM1059" s="335"/>
    </row>
    <row r="1060" spans="9:65" ht="20" customHeight="1">
      <c r="I1060"/>
      <c r="J1060" s="45"/>
      <c r="K1060" s="514"/>
      <c r="L1060" s="45"/>
      <c r="M1060" s="45"/>
      <c r="N1060"/>
      <c r="O1060"/>
      <c r="P1060"/>
      <c r="Q1060"/>
      <c r="R1060"/>
      <c r="AM1060" s="356">
        <f>AM572</f>
        <v>0</v>
      </c>
      <c r="AN1060" s="356">
        <f>AN574</f>
        <v>0</v>
      </c>
      <c r="AO1060" s="356">
        <f>AO576</f>
        <v>0</v>
      </c>
      <c r="AP1060" s="378">
        <f>AP578</f>
        <v>0</v>
      </c>
      <c r="BM1060" s="335"/>
    </row>
    <row r="1061" spans="9:65" ht="20" customHeight="1">
      <c r="I1061"/>
      <c r="J1061" s="45"/>
      <c r="K1061" s="514"/>
      <c r="L1061" s="45"/>
      <c r="M1061" s="45"/>
      <c r="N1061"/>
      <c r="O1061"/>
      <c r="P1061"/>
      <c r="Q1061"/>
      <c r="R1061"/>
      <c r="AM1061" s="356">
        <f>AM582</f>
        <v>0</v>
      </c>
      <c r="AN1061" s="356">
        <f>AN584</f>
        <v>0</v>
      </c>
      <c r="AO1061" s="356">
        <f>AO586</f>
        <v>0</v>
      </c>
      <c r="AP1061" s="378">
        <f>AP588</f>
        <v>0</v>
      </c>
      <c r="BM1061" s="335"/>
    </row>
    <row r="1062" spans="9:65" ht="20" customHeight="1">
      <c r="I1062"/>
      <c r="J1062" s="45"/>
      <c r="K1062" s="514"/>
      <c r="L1062" s="45"/>
      <c r="M1062" s="45"/>
      <c r="N1062"/>
      <c r="O1062"/>
      <c r="P1062"/>
      <c r="Q1062"/>
      <c r="R1062"/>
      <c r="AM1062" s="356">
        <f>AM592</f>
        <v>0</v>
      </c>
      <c r="AN1062" s="356">
        <f>AN594</f>
        <v>0</v>
      </c>
      <c r="AO1062" s="356">
        <f>AO596</f>
        <v>0</v>
      </c>
      <c r="AP1062" s="378">
        <f>AP598</f>
        <v>0</v>
      </c>
      <c r="BM1062" s="335"/>
    </row>
    <row r="1063" spans="9:65" ht="20" customHeight="1">
      <c r="I1063"/>
      <c r="J1063" s="45"/>
      <c r="K1063" s="514"/>
      <c r="L1063" s="45"/>
      <c r="M1063" s="45"/>
      <c r="N1063"/>
      <c r="O1063"/>
      <c r="P1063"/>
      <c r="Q1063"/>
      <c r="R1063"/>
      <c r="AM1063" s="356">
        <f>AM602</f>
        <v>0</v>
      </c>
      <c r="AN1063" s="356">
        <f>AN604</f>
        <v>0</v>
      </c>
      <c r="AO1063" s="356">
        <f>AO606</f>
        <v>0</v>
      </c>
      <c r="AP1063" s="378">
        <f>AP608</f>
        <v>0</v>
      </c>
      <c r="BM1063" s="335"/>
    </row>
    <row r="1064" spans="9:65" ht="20" customHeight="1">
      <c r="I1064"/>
      <c r="J1064" s="45"/>
      <c r="K1064" s="514"/>
      <c r="L1064" s="45"/>
      <c r="M1064" s="45"/>
      <c r="N1064"/>
      <c r="O1064"/>
      <c r="P1064"/>
      <c r="Q1064"/>
      <c r="R1064"/>
      <c r="AM1064" s="356">
        <f>AM612</f>
        <v>0</v>
      </c>
      <c r="AN1064" s="356">
        <f>AN614</f>
        <v>0</v>
      </c>
      <c r="AO1064" s="356">
        <f>AO616</f>
        <v>0</v>
      </c>
      <c r="AP1064" s="378">
        <f>AP618</f>
        <v>0</v>
      </c>
      <c r="BM1064" s="335"/>
    </row>
    <row r="1065" spans="9:65" ht="20" customHeight="1">
      <c r="I1065"/>
      <c r="J1065" s="45"/>
      <c r="K1065" s="514"/>
      <c r="L1065" s="45"/>
      <c r="M1065" s="45"/>
      <c r="N1065"/>
      <c r="O1065"/>
      <c r="P1065"/>
      <c r="Q1065"/>
      <c r="R1065"/>
      <c r="AM1065" s="356">
        <f>AM622</f>
        <v>0</v>
      </c>
      <c r="AN1065" s="356">
        <f>AN624</f>
        <v>0</v>
      </c>
      <c r="AO1065" s="356">
        <f>AO626</f>
        <v>0</v>
      </c>
      <c r="AP1065" s="378">
        <f>AP628</f>
        <v>0</v>
      </c>
      <c r="BM1065" s="335"/>
    </row>
    <row r="1066" spans="9:65" ht="20" customHeight="1">
      <c r="I1066"/>
      <c r="J1066" s="45"/>
      <c r="K1066" s="514"/>
      <c r="L1066" s="45"/>
      <c r="M1066" s="45"/>
      <c r="N1066"/>
      <c r="O1066"/>
      <c r="P1066"/>
      <c r="Q1066"/>
      <c r="R1066"/>
      <c r="AM1066" s="356">
        <f>AM632</f>
        <v>0</v>
      </c>
      <c r="AN1066" s="356">
        <f>AN634</f>
        <v>0</v>
      </c>
      <c r="AO1066" s="356">
        <f>AO636</f>
        <v>0</v>
      </c>
      <c r="AP1066" s="378">
        <f>AP638</f>
        <v>0</v>
      </c>
      <c r="BM1066" s="335"/>
    </row>
    <row r="1067" spans="9:65" ht="20" customHeight="1">
      <c r="I1067"/>
      <c r="J1067" s="45"/>
      <c r="K1067" s="514"/>
      <c r="L1067" s="45"/>
      <c r="M1067" s="45"/>
      <c r="N1067"/>
      <c r="O1067"/>
      <c r="P1067"/>
      <c r="Q1067"/>
      <c r="R1067"/>
      <c r="AM1067" s="356">
        <f>AM642</f>
        <v>0</v>
      </c>
      <c r="AN1067" s="356">
        <f>AN644</f>
        <v>0</v>
      </c>
      <c r="AO1067" s="356">
        <f>AO646</f>
        <v>0</v>
      </c>
      <c r="AP1067" s="378">
        <f>AP648</f>
        <v>0</v>
      </c>
      <c r="BM1067" s="335"/>
    </row>
    <row r="1068" spans="9:65" ht="20" customHeight="1">
      <c r="I1068"/>
      <c r="J1068" s="45"/>
      <c r="K1068" s="514"/>
      <c r="L1068" s="45"/>
      <c r="M1068" s="45"/>
      <c r="N1068"/>
      <c r="O1068"/>
      <c r="P1068"/>
      <c r="Q1068"/>
      <c r="R1068"/>
      <c r="AM1068" s="356">
        <f>AM652</f>
        <v>0</v>
      </c>
      <c r="AN1068" s="356">
        <f>AN654</f>
        <v>0</v>
      </c>
      <c r="AO1068" s="356">
        <f>AO656</f>
        <v>0</v>
      </c>
      <c r="AP1068" s="378">
        <f>AP658</f>
        <v>0</v>
      </c>
      <c r="BM1068" s="335"/>
    </row>
    <row r="1069" spans="9:65" ht="20" customHeight="1">
      <c r="I1069"/>
      <c r="J1069" s="45"/>
      <c r="K1069" s="514"/>
      <c r="L1069" s="45"/>
      <c r="M1069" s="45"/>
      <c r="N1069"/>
      <c r="O1069"/>
      <c r="P1069"/>
      <c r="Q1069"/>
      <c r="R1069"/>
      <c r="AM1069" s="356">
        <f>AM662</f>
        <v>0</v>
      </c>
      <c r="AN1069" s="356">
        <f>AN664</f>
        <v>0</v>
      </c>
      <c r="AO1069" s="356">
        <f>AO666</f>
        <v>0</v>
      </c>
      <c r="AP1069" s="378">
        <f>AP668</f>
        <v>0</v>
      </c>
      <c r="BM1069" s="335"/>
    </row>
    <row r="1070" spans="9:65" ht="20" customHeight="1">
      <c r="I1070"/>
      <c r="J1070" s="45"/>
      <c r="K1070" s="514"/>
      <c r="L1070" s="45"/>
      <c r="M1070" s="45"/>
      <c r="N1070"/>
      <c r="O1070"/>
      <c r="P1070"/>
      <c r="Q1070"/>
      <c r="R1070"/>
      <c r="AM1070" s="356">
        <f>AM672</f>
        <v>0</v>
      </c>
      <c r="AN1070" s="356">
        <f>AN674</f>
        <v>0</v>
      </c>
      <c r="AO1070" s="356">
        <f>AO676</f>
        <v>0</v>
      </c>
      <c r="AP1070" s="378">
        <f>AP678</f>
        <v>0</v>
      </c>
      <c r="BM1070" s="335"/>
    </row>
    <row r="1071" spans="9:65" ht="20" customHeight="1">
      <c r="I1071"/>
      <c r="J1071" s="45"/>
      <c r="K1071" s="514"/>
      <c r="L1071" s="45"/>
      <c r="M1071" s="45"/>
      <c r="N1071"/>
      <c r="O1071"/>
      <c r="P1071"/>
      <c r="Q1071"/>
      <c r="R1071"/>
      <c r="AM1071" s="356">
        <f>AM682</f>
        <v>0</v>
      </c>
      <c r="AN1071" s="356">
        <f>AN684</f>
        <v>0</v>
      </c>
      <c r="AO1071" s="356">
        <f>AO686</f>
        <v>0</v>
      </c>
      <c r="AP1071" s="378">
        <f>AP688</f>
        <v>0</v>
      </c>
      <c r="BM1071" s="335"/>
    </row>
    <row r="1072" spans="9:65" ht="20" customHeight="1">
      <c r="I1072"/>
      <c r="J1072" s="45"/>
      <c r="K1072" s="514"/>
      <c r="L1072" s="45"/>
      <c r="M1072" s="45"/>
      <c r="N1072"/>
      <c r="O1072"/>
      <c r="P1072"/>
      <c r="Q1072"/>
      <c r="R1072"/>
      <c r="AM1072" s="356">
        <f>AM692</f>
        <v>0</v>
      </c>
      <c r="AN1072" s="356">
        <f>AN694</f>
        <v>0</v>
      </c>
      <c r="AO1072" s="356">
        <f>AO696</f>
        <v>0</v>
      </c>
      <c r="AP1072" s="378">
        <f>AP698</f>
        <v>0</v>
      </c>
      <c r="BM1072" s="335"/>
    </row>
    <row r="1073" spans="9:65" ht="20" customHeight="1">
      <c r="I1073"/>
      <c r="J1073" s="45"/>
      <c r="K1073" s="514"/>
      <c r="L1073" s="45"/>
      <c r="M1073" s="45"/>
      <c r="N1073"/>
      <c r="O1073"/>
      <c r="P1073"/>
      <c r="Q1073"/>
      <c r="R1073"/>
      <c r="AM1073" s="356">
        <f>AM702</f>
        <v>0</v>
      </c>
      <c r="AN1073" s="356">
        <f>AN704</f>
        <v>0</v>
      </c>
      <c r="AO1073" s="356">
        <f>AO706</f>
        <v>0</v>
      </c>
      <c r="AP1073" s="378">
        <f>AP708</f>
        <v>0</v>
      </c>
      <c r="BM1073" s="335"/>
    </row>
    <row r="1074" spans="9:65" ht="20" customHeight="1">
      <c r="I1074"/>
      <c r="J1074" s="45"/>
      <c r="K1074" s="514"/>
      <c r="L1074" s="45"/>
      <c r="M1074" s="45"/>
      <c r="N1074"/>
      <c r="O1074"/>
      <c r="P1074"/>
      <c r="Q1074"/>
      <c r="R1074"/>
      <c r="AM1074" s="356">
        <f>AM712</f>
        <v>0</v>
      </c>
      <c r="AN1074" s="356">
        <f>AN714</f>
        <v>0</v>
      </c>
      <c r="AO1074" s="356">
        <f>AO716</f>
        <v>0</v>
      </c>
      <c r="AP1074" s="378">
        <f>AP718</f>
        <v>0</v>
      </c>
      <c r="BM1074" s="335"/>
    </row>
    <row r="1075" spans="9:65" ht="20" customHeight="1">
      <c r="I1075"/>
      <c r="J1075" s="45"/>
      <c r="K1075" s="514"/>
      <c r="L1075" s="45"/>
      <c r="M1075" s="45"/>
      <c r="N1075"/>
      <c r="O1075"/>
      <c r="P1075"/>
      <c r="Q1075"/>
      <c r="R1075"/>
      <c r="AM1075" s="356">
        <f>AM722</f>
        <v>0</v>
      </c>
      <c r="AN1075" s="356">
        <f>AN724</f>
        <v>0</v>
      </c>
      <c r="AO1075" s="356">
        <f>AO726</f>
        <v>0</v>
      </c>
      <c r="AP1075" s="378">
        <f>AP728</f>
        <v>0</v>
      </c>
      <c r="BM1075" s="335"/>
    </row>
    <row r="1076" spans="9:65" ht="20" customHeight="1">
      <c r="I1076"/>
      <c r="J1076" s="45"/>
      <c r="K1076" s="514"/>
      <c r="L1076" s="45"/>
      <c r="M1076" s="45"/>
      <c r="N1076"/>
      <c r="O1076"/>
      <c r="P1076"/>
      <c r="Q1076"/>
      <c r="R1076"/>
      <c r="AM1076" s="356">
        <f>AM732</f>
        <v>0</v>
      </c>
      <c r="AN1076" s="356">
        <f>AN734</f>
        <v>0</v>
      </c>
      <c r="AO1076" s="356">
        <f>AO736</f>
        <v>0</v>
      </c>
      <c r="AP1076" s="378">
        <f>AP738</f>
        <v>0</v>
      </c>
      <c r="BM1076" s="335"/>
    </row>
    <row r="1077" spans="9:65" ht="20" customHeight="1">
      <c r="I1077"/>
      <c r="J1077" s="45"/>
      <c r="K1077" s="514"/>
      <c r="L1077" s="45"/>
      <c r="M1077" s="45"/>
      <c r="N1077"/>
      <c r="O1077"/>
      <c r="P1077"/>
      <c r="Q1077"/>
      <c r="R1077"/>
      <c r="AM1077" s="356">
        <f>AM742</f>
        <v>0</v>
      </c>
      <c r="AN1077" s="356">
        <f>AN744</f>
        <v>0</v>
      </c>
      <c r="AO1077" s="356">
        <f>AO746</f>
        <v>0</v>
      </c>
      <c r="AP1077" s="378">
        <f>AP748</f>
        <v>0</v>
      </c>
      <c r="BM1077" s="335"/>
    </row>
    <row r="1078" spans="9:65" ht="20" customHeight="1">
      <c r="I1078"/>
      <c r="J1078" s="45"/>
      <c r="K1078" s="514"/>
      <c r="L1078" s="45"/>
      <c r="M1078" s="45"/>
      <c r="N1078"/>
      <c r="O1078"/>
      <c r="P1078"/>
      <c r="Q1078"/>
      <c r="R1078"/>
      <c r="AM1078" s="356">
        <f>AM752</f>
        <v>0</v>
      </c>
      <c r="AN1078" s="356">
        <f>AN754</f>
        <v>0</v>
      </c>
      <c r="AO1078" s="356">
        <f>AO756</f>
        <v>0</v>
      </c>
      <c r="AP1078" s="378">
        <f>AP758</f>
        <v>0</v>
      </c>
      <c r="BM1078" s="335"/>
    </row>
    <row r="1079" spans="9:65" ht="20" customHeight="1">
      <c r="I1079"/>
      <c r="J1079" s="45"/>
      <c r="K1079" s="514"/>
      <c r="L1079" s="45"/>
      <c r="M1079" s="45"/>
      <c r="N1079"/>
      <c r="O1079"/>
      <c r="P1079"/>
      <c r="Q1079"/>
      <c r="R1079"/>
      <c r="AM1079" s="356">
        <f>AM762</f>
        <v>0</v>
      </c>
      <c r="AN1079" s="356">
        <f>AN764</f>
        <v>0</v>
      </c>
      <c r="AO1079" s="356">
        <f>AO766</f>
        <v>0</v>
      </c>
      <c r="AP1079" s="378">
        <f>AP768</f>
        <v>0</v>
      </c>
      <c r="BM1079" s="335"/>
    </row>
    <row r="1080" spans="9:65" ht="20" customHeight="1">
      <c r="I1080"/>
      <c r="J1080" s="45"/>
      <c r="K1080" s="514"/>
      <c r="L1080" s="45"/>
      <c r="M1080" s="45"/>
      <c r="N1080"/>
      <c r="O1080"/>
      <c r="P1080"/>
      <c r="Q1080"/>
      <c r="R1080"/>
      <c r="AM1080" s="356">
        <f>AM772</f>
        <v>0</v>
      </c>
      <c r="AN1080" s="356">
        <f>AN774</f>
        <v>0</v>
      </c>
      <c r="AO1080" s="356">
        <f>AO776</f>
        <v>0</v>
      </c>
      <c r="AP1080" s="378">
        <f>AP778</f>
        <v>0</v>
      </c>
      <c r="BM1080" s="335"/>
    </row>
    <row r="1081" spans="9:65" ht="20" customHeight="1">
      <c r="I1081"/>
      <c r="J1081" s="45"/>
      <c r="K1081" s="514"/>
      <c r="L1081" s="45"/>
      <c r="M1081" s="45"/>
      <c r="N1081"/>
      <c r="O1081"/>
      <c r="P1081"/>
      <c r="Q1081"/>
      <c r="R1081"/>
      <c r="AM1081" s="356">
        <f>AM782</f>
        <v>0</v>
      </c>
      <c r="AN1081" s="356">
        <f>AN784</f>
        <v>0</v>
      </c>
      <c r="AO1081" s="356">
        <f>AO786</f>
        <v>0</v>
      </c>
      <c r="AP1081" s="378">
        <f>AP788</f>
        <v>0</v>
      </c>
      <c r="BM1081" s="335"/>
    </row>
    <row r="1082" spans="9:65" ht="20" customHeight="1">
      <c r="I1082"/>
      <c r="J1082" s="45"/>
      <c r="K1082" s="514"/>
      <c r="L1082" s="45"/>
      <c r="M1082" s="45"/>
      <c r="N1082"/>
      <c r="O1082"/>
      <c r="P1082"/>
      <c r="Q1082"/>
      <c r="R1082"/>
      <c r="AM1082" s="356">
        <f>AM792</f>
        <v>0</v>
      </c>
      <c r="AN1082" s="356">
        <f>AN794</f>
        <v>0</v>
      </c>
      <c r="AO1082" s="356">
        <f>AO796</f>
        <v>0</v>
      </c>
      <c r="AP1082" s="378">
        <f>AP798</f>
        <v>0</v>
      </c>
      <c r="BM1082" s="335"/>
    </row>
    <row r="1083" spans="9:65" ht="20" customHeight="1">
      <c r="I1083"/>
      <c r="J1083" s="45"/>
      <c r="K1083" s="514"/>
      <c r="L1083" s="45"/>
      <c r="M1083" s="45"/>
      <c r="N1083"/>
      <c r="O1083"/>
      <c r="P1083"/>
      <c r="Q1083"/>
      <c r="R1083"/>
      <c r="AM1083" s="356">
        <f>AM802</f>
        <v>0</v>
      </c>
      <c r="AN1083" s="356">
        <f>AN804</f>
        <v>0</v>
      </c>
      <c r="AO1083" s="356">
        <f>AO806</f>
        <v>0</v>
      </c>
      <c r="AP1083" s="378">
        <f>AP808</f>
        <v>0</v>
      </c>
      <c r="BM1083" s="335"/>
    </row>
    <row r="1084" spans="9:65" ht="20" customHeight="1">
      <c r="I1084"/>
      <c r="J1084" s="45"/>
      <c r="K1084" s="514"/>
      <c r="L1084" s="45"/>
      <c r="M1084" s="45"/>
      <c r="N1084"/>
      <c r="O1084"/>
      <c r="P1084"/>
      <c r="Q1084"/>
      <c r="R1084"/>
      <c r="AM1084" s="356">
        <f>AM812</f>
        <v>0</v>
      </c>
      <c r="AN1084" s="356">
        <f>AN814</f>
        <v>0</v>
      </c>
      <c r="AO1084" s="356">
        <f>AO816</f>
        <v>0</v>
      </c>
      <c r="AP1084" s="378">
        <f>AP818</f>
        <v>0</v>
      </c>
      <c r="BM1084" s="335"/>
    </row>
    <row r="1085" spans="9:65" ht="20" customHeight="1">
      <c r="I1085"/>
      <c r="J1085" s="45"/>
      <c r="K1085" s="514"/>
      <c r="L1085" s="45"/>
      <c r="M1085" s="45"/>
      <c r="N1085"/>
      <c r="O1085"/>
      <c r="P1085"/>
      <c r="Q1085"/>
      <c r="R1085"/>
      <c r="AM1085" s="356">
        <f>AM822</f>
        <v>0</v>
      </c>
      <c r="AN1085" s="356">
        <f>AN824</f>
        <v>0</v>
      </c>
      <c r="AO1085" s="356">
        <f>AO826</f>
        <v>0</v>
      </c>
      <c r="AP1085" s="378">
        <f>AP828</f>
        <v>0</v>
      </c>
      <c r="BM1085" s="335"/>
    </row>
    <row r="1086" spans="9:65" ht="20" customHeight="1">
      <c r="I1086"/>
      <c r="J1086" s="45"/>
      <c r="K1086" s="514"/>
      <c r="L1086" s="45"/>
      <c r="M1086" s="45"/>
      <c r="N1086"/>
      <c r="O1086"/>
      <c r="P1086"/>
      <c r="Q1086"/>
      <c r="R1086"/>
      <c r="AM1086" s="356">
        <f>AM832</f>
        <v>0</v>
      </c>
      <c r="AN1086" s="356">
        <f>AN834</f>
        <v>0</v>
      </c>
      <c r="AO1086" s="356">
        <f>AO836</f>
        <v>0</v>
      </c>
      <c r="AP1086" s="378">
        <f>AP838</f>
        <v>0</v>
      </c>
      <c r="BM1086" s="335"/>
    </row>
    <row r="1087" spans="9:65" ht="20" customHeight="1">
      <c r="I1087"/>
      <c r="J1087" s="45"/>
      <c r="K1087" s="514"/>
      <c r="L1087" s="45"/>
      <c r="M1087" s="45"/>
      <c r="N1087"/>
      <c r="O1087"/>
      <c r="P1087"/>
      <c r="Q1087"/>
      <c r="R1087"/>
      <c r="AM1087" s="356">
        <f>AM842</f>
        <v>0</v>
      </c>
      <c r="AN1087" s="356">
        <f>AN844</f>
        <v>0</v>
      </c>
      <c r="AO1087" s="356">
        <f>AO846</f>
        <v>0</v>
      </c>
      <c r="AP1087" s="378">
        <f>AP848</f>
        <v>0</v>
      </c>
      <c r="BM1087" s="335"/>
    </row>
    <row r="1088" spans="9:65" ht="20" customHeight="1">
      <c r="I1088"/>
      <c r="J1088" s="45"/>
      <c r="K1088" s="514"/>
      <c r="L1088" s="45"/>
      <c r="M1088" s="45"/>
      <c r="N1088"/>
      <c r="O1088"/>
      <c r="P1088"/>
      <c r="Q1088"/>
      <c r="R1088"/>
      <c r="AM1088" s="356">
        <f>AM852</f>
        <v>0</v>
      </c>
      <c r="AN1088" s="356">
        <f>AN854</f>
        <v>0</v>
      </c>
      <c r="AO1088" s="356">
        <f>AO856</f>
        <v>0</v>
      </c>
      <c r="AP1088" s="378">
        <f>AP858</f>
        <v>0</v>
      </c>
      <c r="BM1088" s="335"/>
    </row>
    <row r="1089" spans="9:65" ht="20" customHeight="1">
      <c r="I1089"/>
      <c r="J1089" s="45"/>
      <c r="K1089" s="514"/>
      <c r="L1089" s="45"/>
      <c r="M1089" s="45"/>
      <c r="N1089"/>
      <c r="O1089"/>
      <c r="P1089"/>
      <c r="Q1089"/>
      <c r="R1089"/>
      <c r="AM1089" s="356">
        <f>AM862</f>
        <v>0</v>
      </c>
      <c r="AN1089" s="356">
        <f>AN864</f>
        <v>0</v>
      </c>
      <c r="AO1089" s="356">
        <f>AO866</f>
        <v>0</v>
      </c>
      <c r="AP1089" s="378">
        <f>AP868</f>
        <v>0</v>
      </c>
      <c r="BM1089" s="335"/>
    </row>
    <row r="1090" spans="9:65" ht="20" customHeight="1">
      <c r="I1090"/>
      <c r="J1090" s="45"/>
      <c r="K1090" s="514"/>
      <c r="L1090" s="45"/>
      <c r="M1090" s="45"/>
      <c r="N1090"/>
      <c r="O1090"/>
      <c r="P1090"/>
      <c r="Q1090"/>
      <c r="R1090"/>
      <c r="AM1090" s="356">
        <f>AM872</f>
        <v>0</v>
      </c>
      <c r="AN1090" s="356">
        <f>AN874</f>
        <v>0</v>
      </c>
      <c r="AO1090" s="356">
        <f>AO876</f>
        <v>0</v>
      </c>
      <c r="AP1090" s="378">
        <f>AP878</f>
        <v>0</v>
      </c>
      <c r="BM1090" s="335"/>
    </row>
    <row r="1091" spans="9:65" ht="20" customHeight="1">
      <c r="I1091"/>
      <c r="J1091" s="45"/>
      <c r="K1091" s="514"/>
      <c r="L1091" s="45"/>
      <c r="M1091" s="45"/>
      <c r="N1091"/>
      <c r="O1091"/>
      <c r="P1091"/>
      <c r="Q1091"/>
      <c r="R1091"/>
      <c r="AM1091" s="356">
        <f>AM882</f>
        <v>0</v>
      </c>
      <c r="AN1091" s="356">
        <f>AN884</f>
        <v>0</v>
      </c>
      <c r="AO1091" s="356">
        <f>AO886</f>
        <v>0</v>
      </c>
      <c r="AP1091" s="378">
        <f>AP888</f>
        <v>0</v>
      </c>
      <c r="BM1091" s="335"/>
    </row>
    <row r="1092" spans="9:65" ht="20" customHeight="1">
      <c r="I1092"/>
      <c r="J1092" s="45"/>
      <c r="K1092" s="514"/>
      <c r="L1092" s="45"/>
      <c r="M1092" s="45"/>
      <c r="N1092"/>
      <c r="O1092"/>
      <c r="P1092"/>
      <c r="Q1092"/>
      <c r="R1092"/>
      <c r="AM1092" s="356">
        <f>AM892</f>
        <v>0</v>
      </c>
      <c r="AN1092" s="356">
        <f>AN894</f>
        <v>0</v>
      </c>
      <c r="AO1092" s="356">
        <f>AO896</f>
        <v>0</v>
      </c>
      <c r="AP1092" s="378">
        <f>AP898</f>
        <v>0</v>
      </c>
      <c r="BM1092" s="335"/>
    </row>
    <row r="1093" spans="9:65" ht="20" customHeight="1">
      <c r="M1093" s="45"/>
      <c r="N1093"/>
      <c r="O1093"/>
      <c r="P1093"/>
      <c r="Q1093"/>
      <c r="R1093"/>
      <c r="AM1093" s="356">
        <f>AM902</f>
        <v>0</v>
      </c>
      <c r="AN1093" s="356">
        <f>AN904</f>
        <v>0</v>
      </c>
      <c r="AO1093" s="356">
        <f>AO906</f>
        <v>0</v>
      </c>
      <c r="AP1093" s="378">
        <f>AP908</f>
        <v>0</v>
      </c>
      <c r="BM1093" s="335"/>
    </row>
    <row r="1094" spans="9:65" ht="20" customHeight="1">
      <c r="M1094" s="45"/>
      <c r="N1094"/>
      <c r="O1094"/>
      <c r="P1094"/>
      <c r="Q1094"/>
      <c r="R1094"/>
      <c r="AM1094" s="356">
        <f>AM912</f>
        <v>0</v>
      </c>
      <c r="AN1094" s="356">
        <f>AN914</f>
        <v>0</v>
      </c>
      <c r="AO1094" s="356">
        <f>AO916</f>
        <v>0</v>
      </c>
      <c r="AP1094" s="378">
        <f>AP918</f>
        <v>0</v>
      </c>
      <c r="BM1094" s="335"/>
    </row>
    <row r="1095" spans="9:65" ht="20" customHeight="1">
      <c r="M1095" s="45"/>
      <c r="N1095"/>
      <c r="O1095"/>
      <c r="P1095"/>
      <c r="Q1095"/>
      <c r="R1095"/>
      <c r="AM1095" s="356">
        <f>AM922</f>
        <v>0</v>
      </c>
      <c r="AN1095" s="356">
        <f>AN924</f>
        <v>0</v>
      </c>
      <c r="AO1095" s="356">
        <f>AO926</f>
        <v>0</v>
      </c>
      <c r="AP1095" s="378">
        <f>AP928</f>
        <v>0</v>
      </c>
      <c r="BM1095" s="335"/>
    </row>
    <row r="1096" spans="9:65" ht="20" customHeight="1">
      <c r="M1096" s="45"/>
      <c r="N1096"/>
      <c r="O1096"/>
      <c r="P1096"/>
      <c r="Q1096"/>
      <c r="R1096"/>
      <c r="AM1096" s="356">
        <f>AM932</f>
        <v>0</v>
      </c>
      <c r="AN1096" s="356">
        <f>AN934</f>
        <v>0</v>
      </c>
      <c r="AO1096" s="356">
        <f>AO936</f>
        <v>0</v>
      </c>
      <c r="AP1096" s="378">
        <f>AP938</f>
        <v>0</v>
      </c>
      <c r="BM1096" s="335"/>
    </row>
    <row r="1097" spans="9:65" ht="20" customHeight="1">
      <c r="M1097" s="45"/>
      <c r="N1097"/>
      <c r="O1097"/>
      <c r="P1097"/>
      <c r="Q1097"/>
      <c r="R1097"/>
      <c r="AM1097" s="356">
        <f>AM942</f>
        <v>0</v>
      </c>
      <c r="AN1097" s="356">
        <f>AN944</f>
        <v>0</v>
      </c>
      <c r="AO1097" s="356">
        <f>AO946</f>
        <v>0</v>
      </c>
      <c r="AP1097" s="378">
        <f>AP948</f>
        <v>0</v>
      </c>
      <c r="BM1097" s="335"/>
    </row>
    <row r="1098" spans="9:65" ht="20" customHeight="1">
      <c r="M1098" s="45"/>
      <c r="N1098"/>
      <c r="O1098"/>
      <c r="P1098"/>
      <c r="Q1098"/>
      <c r="R1098"/>
      <c r="AM1098" s="356">
        <f>AM952</f>
        <v>0</v>
      </c>
      <c r="AN1098" s="356">
        <f>AN954</f>
        <v>0</v>
      </c>
      <c r="AO1098" s="356">
        <f>AO956</f>
        <v>0</v>
      </c>
      <c r="AP1098" s="378">
        <f>AP958</f>
        <v>0</v>
      </c>
      <c r="BM1098" s="335"/>
    </row>
    <row r="1099" spans="9:65" ht="20" customHeight="1">
      <c r="M1099" s="45"/>
      <c r="N1099"/>
      <c r="O1099"/>
      <c r="P1099"/>
      <c r="Q1099"/>
      <c r="R1099"/>
      <c r="AM1099" s="356">
        <f>AM962</f>
        <v>0</v>
      </c>
      <c r="AN1099" s="356">
        <f>AN964</f>
        <v>0</v>
      </c>
      <c r="AO1099" s="356">
        <f>AO966</f>
        <v>0</v>
      </c>
      <c r="AP1099" s="378">
        <f>AP968</f>
        <v>0</v>
      </c>
      <c r="BM1099" s="335"/>
    </row>
    <row r="1100" spans="9:65" ht="20" customHeight="1">
      <c r="M1100" s="45"/>
      <c r="N1100"/>
      <c r="O1100"/>
      <c r="P1100"/>
      <c r="Q1100"/>
      <c r="R1100"/>
      <c r="AM1100" s="356">
        <f>AM972</f>
        <v>0</v>
      </c>
      <c r="AN1100" s="356">
        <f>AN974</f>
        <v>0</v>
      </c>
      <c r="AO1100" s="356">
        <f>AO976</f>
        <v>0</v>
      </c>
      <c r="AP1100" s="378">
        <f>AP978</f>
        <v>0</v>
      </c>
      <c r="BM1100" s="335"/>
    </row>
    <row r="1101" spans="9:65" ht="20" customHeight="1">
      <c r="M1101" s="45"/>
      <c r="N1101"/>
      <c r="O1101"/>
      <c r="P1101"/>
      <c r="Q1101"/>
      <c r="R1101"/>
      <c r="AM1101" s="356">
        <f>AM982</f>
        <v>0</v>
      </c>
      <c r="AN1101" s="356">
        <f>AN984</f>
        <v>0</v>
      </c>
      <c r="AO1101" s="356">
        <f>AO986</f>
        <v>0</v>
      </c>
      <c r="AP1101" s="378">
        <f>AP988</f>
        <v>0</v>
      </c>
      <c r="BM1101" s="335"/>
    </row>
    <row r="1102" spans="9:65" ht="20" customHeight="1">
      <c r="M1102" s="45"/>
      <c r="N1102"/>
      <c r="O1102"/>
      <c r="P1102"/>
      <c r="Q1102"/>
      <c r="R1102"/>
      <c r="AM1102" s="356">
        <f>AM992</f>
        <v>0</v>
      </c>
      <c r="AN1102" s="356">
        <f>AN994</f>
        <v>0</v>
      </c>
      <c r="AO1102" s="356">
        <f>AO996</f>
        <v>0</v>
      </c>
      <c r="AP1102" s="378">
        <f>AP998</f>
        <v>0</v>
      </c>
      <c r="BM1102" s="335"/>
    </row>
    <row r="1103" spans="9:65" ht="20" customHeight="1">
      <c r="M1103" s="45"/>
      <c r="N1103"/>
      <c r="O1103"/>
      <c r="P1103"/>
      <c r="Q1103"/>
      <c r="R1103"/>
      <c r="AK1103" s="351"/>
      <c r="AL1103" s="351"/>
      <c r="AM1103" s="351"/>
      <c r="AN1103" s="351"/>
      <c r="AO1103" s="351"/>
      <c r="AP1103" s="351"/>
      <c r="AQ1103" s="351"/>
      <c r="AR1103" s="770"/>
      <c r="AS1103" s="770"/>
      <c r="AT1103" s="770"/>
      <c r="BM1103" s="335"/>
    </row>
    <row r="1104" spans="9:65" ht="20" customHeight="1">
      <c r="M1104" s="45"/>
      <c r="N1104"/>
      <c r="O1104"/>
      <c r="P1104"/>
      <c r="Q1104"/>
      <c r="R1104"/>
      <c r="AK1104" s="351"/>
      <c r="AL1104" s="351"/>
      <c r="AM1104" s="351"/>
      <c r="AN1104" s="351"/>
      <c r="AO1104" s="351"/>
      <c r="AP1104" s="351"/>
      <c r="AQ1104" s="351"/>
      <c r="AR1104" s="770"/>
      <c r="AS1104" s="770"/>
      <c r="AT1104" s="770"/>
      <c r="BM1104" s="335"/>
    </row>
    <row r="1105" spans="13:65" ht="20" customHeight="1">
      <c r="M1105" s="45"/>
      <c r="N1105"/>
      <c r="O1105"/>
      <c r="P1105"/>
      <c r="Q1105"/>
      <c r="R1105"/>
      <c r="AK1105" s="351"/>
      <c r="AL1105" s="351"/>
      <c r="AM1105" s="351"/>
      <c r="AN1105" s="351"/>
      <c r="AO1105" s="351"/>
      <c r="AP1105" s="351"/>
      <c r="AQ1105" s="351"/>
      <c r="AR1105" s="770"/>
      <c r="AS1105" s="770"/>
      <c r="AT1105" s="770"/>
      <c r="BM1105" s="335"/>
    </row>
    <row r="1106" spans="13:65" ht="20" customHeight="1">
      <c r="M1106" s="45"/>
      <c r="N1106"/>
      <c r="O1106"/>
      <c r="P1106"/>
      <c r="Q1106"/>
      <c r="R1106"/>
      <c r="AK1106" s="351"/>
      <c r="AL1106" s="351"/>
      <c r="AM1106" s="351"/>
      <c r="AN1106" s="351"/>
      <c r="AO1106" s="351"/>
      <c r="AP1106" s="351"/>
      <c r="AQ1106" s="351"/>
      <c r="AR1106" s="770"/>
      <c r="AS1106" s="770"/>
      <c r="AT1106" s="770"/>
      <c r="BM1106" s="335"/>
    </row>
    <row r="1107" spans="13:65" ht="20" customHeight="1">
      <c r="M1107" s="45"/>
      <c r="N1107"/>
      <c r="O1107"/>
      <c r="P1107"/>
      <c r="Q1107"/>
      <c r="R1107"/>
      <c r="AK1107" s="351"/>
      <c r="AL1107" s="351"/>
      <c r="AM1107" s="351"/>
      <c r="AN1107" s="351"/>
      <c r="AO1107" s="351"/>
      <c r="AP1107" s="351"/>
      <c r="AQ1107" s="351"/>
      <c r="AR1107" s="770"/>
      <c r="AS1107" s="770"/>
      <c r="AT1107" s="770"/>
      <c r="BM1107" s="335"/>
    </row>
    <row r="1108" spans="13:65" ht="20" customHeight="1">
      <c r="M1108" s="45"/>
      <c r="N1108"/>
      <c r="O1108"/>
      <c r="P1108"/>
      <c r="Q1108"/>
      <c r="R1108"/>
      <c r="AK1108" s="351"/>
      <c r="AL1108" s="351"/>
      <c r="AM1108" s="351"/>
      <c r="AN1108" s="351"/>
      <c r="AO1108" s="351"/>
      <c r="AP1108" s="351"/>
      <c r="AQ1108" s="351"/>
      <c r="AR1108" s="770"/>
      <c r="AS1108" s="770"/>
      <c r="AT1108" s="770"/>
      <c r="BM1108" s="335"/>
    </row>
    <row r="1109" spans="13:65" ht="20" customHeight="1">
      <c r="M1109" s="45"/>
      <c r="N1109"/>
      <c r="O1109"/>
      <c r="P1109"/>
      <c r="Q1109"/>
      <c r="R1109"/>
      <c r="AK1109" s="351"/>
      <c r="AL1109" s="351"/>
      <c r="AM1109" s="351"/>
      <c r="AN1109" s="351"/>
      <c r="AO1109" s="351"/>
      <c r="AP1109" s="351"/>
      <c r="AQ1109" s="351"/>
      <c r="AR1109" s="770"/>
      <c r="AS1109" s="770"/>
      <c r="AT1109" s="770"/>
      <c r="BM1109" s="335"/>
    </row>
    <row r="1110" spans="13:65" ht="20" customHeight="1">
      <c r="M1110" s="45"/>
      <c r="N1110"/>
      <c r="O1110"/>
      <c r="P1110"/>
      <c r="Q1110"/>
      <c r="R1110"/>
      <c r="AK1110" s="351"/>
      <c r="AL1110" s="351"/>
      <c r="AM1110" s="351"/>
      <c r="AN1110" s="351"/>
      <c r="AO1110" s="351"/>
      <c r="AP1110" s="351"/>
      <c r="AQ1110" s="351"/>
      <c r="AR1110" s="770"/>
      <c r="AS1110" s="770"/>
      <c r="AT1110" s="770"/>
      <c r="BM1110" s="335"/>
    </row>
    <row r="1111" spans="13:65" ht="20" customHeight="1">
      <c r="M1111" s="45"/>
      <c r="N1111"/>
      <c r="O1111"/>
      <c r="P1111"/>
      <c r="Q1111"/>
      <c r="R1111"/>
      <c r="AK1111" s="351"/>
      <c r="AL1111" s="351"/>
      <c r="AM1111" s="351"/>
      <c r="AN1111" s="351"/>
      <c r="AO1111" s="351"/>
      <c r="AP1111" s="351"/>
      <c r="AQ1111" s="351"/>
      <c r="AR1111" s="770"/>
      <c r="AS1111" s="770"/>
      <c r="AT1111" s="770"/>
      <c r="BM1111" s="335"/>
    </row>
    <row r="1112" spans="13:65" ht="20" customHeight="1">
      <c r="M1112" s="45"/>
      <c r="N1112"/>
      <c r="O1112"/>
      <c r="P1112"/>
      <c r="Q1112"/>
      <c r="R1112"/>
      <c r="AK1112" s="351"/>
      <c r="AL1112" s="351"/>
      <c r="AM1112" s="351"/>
      <c r="AN1112" s="351"/>
      <c r="AO1112" s="351"/>
      <c r="AP1112" s="351"/>
      <c r="AQ1112" s="351"/>
      <c r="AR1112" s="770"/>
      <c r="AS1112" s="770"/>
      <c r="AT1112" s="770"/>
      <c r="BM1112" s="335"/>
    </row>
    <row r="1113" spans="13:65" ht="20" customHeight="1">
      <c r="M1113" s="45"/>
      <c r="N1113"/>
      <c r="O1113"/>
      <c r="P1113"/>
      <c r="Q1113"/>
      <c r="R1113"/>
      <c r="AK1113" s="351"/>
      <c r="AL1113" s="351"/>
      <c r="AM1113" s="351"/>
      <c r="AN1113" s="351"/>
      <c r="AO1113" s="351"/>
      <c r="AP1113" s="351"/>
      <c r="AQ1113" s="351"/>
      <c r="AR1113" s="770"/>
      <c r="AS1113" s="770"/>
      <c r="AT1113" s="770"/>
      <c r="BM1113" s="335"/>
    </row>
    <row r="1114" spans="13:65" ht="20" customHeight="1">
      <c r="M1114" s="45"/>
      <c r="N1114"/>
      <c r="O1114"/>
      <c r="P1114"/>
      <c r="Q1114"/>
      <c r="R1114"/>
      <c r="AK1114" s="351"/>
      <c r="AL1114" s="351"/>
      <c r="AM1114" s="351"/>
      <c r="AN1114" s="351"/>
      <c r="AO1114" s="351"/>
      <c r="AP1114" s="351"/>
      <c r="AQ1114" s="351"/>
      <c r="AR1114" s="770"/>
      <c r="AS1114" s="770"/>
      <c r="AT1114" s="770"/>
      <c r="BM1114" s="335"/>
    </row>
    <row r="1115" spans="13:65" ht="20" customHeight="1">
      <c r="M1115" s="45"/>
      <c r="N1115"/>
      <c r="O1115"/>
      <c r="P1115"/>
      <c r="Q1115"/>
      <c r="R1115"/>
      <c r="AK1115" s="351"/>
      <c r="AL1115" s="351"/>
      <c r="AM1115" s="351"/>
      <c r="AN1115" s="351"/>
      <c r="AO1115" s="351"/>
      <c r="AP1115" s="351"/>
      <c r="AQ1115" s="351"/>
      <c r="AR1115" s="770"/>
      <c r="AS1115" s="770"/>
      <c r="AT1115" s="770"/>
      <c r="BM1115" s="335"/>
    </row>
    <row r="1116" spans="13:65" ht="20" customHeight="1">
      <c r="M1116" s="45"/>
      <c r="N1116"/>
      <c r="O1116"/>
      <c r="P1116"/>
      <c r="Q1116"/>
      <c r="R1116"/>
      <c r="AK1116" s="351"/>
      <c r="AL1116" s="351"/>
      <c r="AM1116" s="351"/>
      <c r="AN1116" s="351"/>
      <c r="AO1116" s="351"/>
      <c r="AP1116" s="351"/>
      <c r="AQ1116" s="351"/>
      <c r="AR1116" s="770"/>
      <c r="AS1116" s="770"/>
      <c r="AT1116" s="770"/>
      <c r="BM1116" s="335"/>
    </row>
    <row r="1117" spans="13:65" ht="20" customHeight="1">
      <c r="M1117" s="45"/>
      <c r="N1117"/>
      <c r="O1117"/>
      <c r="P1117"/>
      <c r="Q1117"/>
      <c r="R1117"/>
      <c r="AK1117" s="351"/>
      <c r="AL1117" s="351"/>
      <c r="AM1117" s="351"/>
      <c r="AN1117" s="351"/>
      <c r="AO1117" s="351"/>
      <c r="AP1117" s="351"/>
      <c r="AQ1117" s="351"/>
      <c r="AR1117" s="770"/>
      <c r="AS1117" s="770"/>
      <c r="AT1117" s="770"/>
      <c r="BM1117" s="335"/>
    </row>
    <row r="1118" spans="13:65" ht="20" customHeight="1">
      <c r="M1118" s="45"/>
      <c r="N1118"/>
      <c r="O1118"/>
      <c r="P1118"/>
      <c r="Q1118"/>
      <c r="R1118"/>
      <c r="AK1118" s="351"/>
      <c r="AL1118" s="351"/>
      <c r="AM1118" s="351"/>
      <c r="AN1118" s="351"/>
      <c r="AO1118" s="351"/>
      <c r="AP1118" s="351"/>
      <c r="AQ1118" s="351"/>
      <c r="AR1118" s="770"/>
      <c r="AS1118" s="770"/>
      <c r="AT1118" s="770"/>
      <c r="BM1118" s="335"/>
    </row>
    <row r="1119" spans="13:65" ht="20" customHeight="1">
      <c r="M1119" s="45"/>
      <c r="N1119"/>
      <c r="O1119"/>
      <c r="P1119"/>
      <c r="Q1119"/>
      <c r="R1119"/>
      <c r="AK1119" s="351"/>
      <c r="AL1119" s="351"/>
      <c r="AM1119" s="351"/>
      <c r="AN1119" s="351"/>
      <c r="AO1119" s="351"/>
      <c r="AP1119" s="351"/>
      <c r="AQ1119" s="351"/>
      <c r="AR1119" s="770"/>
      <c r="AS1119" s="770"/>
      <c r="AT1119" s="770"/>
      <c r="BM1119" s="335"/>
    </row>
    <row r="1120" spans="13:65" ht="20" customHeight="1">
      <c r="M1120" s="45"/>
      <c r="N1120"/>
      <c r="O1120"/>
      <c r="P1120"/>
      <c r="Q1120"/>
      <c r="R1120"/>
      <c r="AK1120" s="351"/>
      <c r="AL1120" s="351"/>
      <c r="AM1120" s="351"/>
      <c r="AN1120" s="351"/>
      <c r="AO1120" s="351"/>
      <c r="AP1120" s="351"/>
      <c r="AQ1120" s="351"/>
      <c r="AR1120" s="770"/>
      <c r="AS1120" s="770"/>
      <c r="AT1120" s="770"/>
      <c r="BM1120" s="335"/>
    </row>
    <row r="1121" spans="13:65" ht="20" customHeight="1">
      <c r="M1121" s="45"/>
      <c r="N1121"/>
      <c r="O1121"/>
      <c r="P1121"/>
      <c r="Q1121"/>
      <c r="R1121"/>
      <c r="AK1121" s="351"/>
      <c r="AL1121" s="351"/>
      <c r="AM1121" s="351"/>
      <c r="AN1121" s="351"/>
      <c r="AO1121" s="351"/>
      <c r="AP1121" s="351"/>
      <c r="AQ1121" s="351"/>
      <c r="AR1121" s="770"/>
      <c r="AS1121" s="770"/>
      <c r="AT1121" s="770"/>
      <c r="BM1121" s="335"/>
    </row>
    <row r="1122" spans="13:65" ht="20" customHeight="1">
      <c r="M1122" s="45"/>
      <c r="N1122"/>
      <c r="O1122"/>
      <c r="P1122"/>
      <c r="Q1122"/>
      <c r="R1122"/>
      <c r="AK1122" s="351"/>
      <c r="AL1122" s="351"/>
      <c r="AM1122" s="351"/>
      <c r="AN1122" s="351"/>
      <c r="AO1122" s="351"/>
      <c r="AP1122" s="351"/>
      <c r="AQ1122" s="351"/>
      <c r="AR1122" s="770"/>
      <c r="AS1122" s="770"/>
      <c r="AT1122" s="770"/>
      <c r="BM1122" s="335"/>
    </row>
    <row r="1123" spans="13:65" ht="20" customHeight="1">
      <c r="M1123" s="45"/>
      <c r="N1123"/>
      <c r="O1123"/>
      <c r="P1123"/>
      <c r="Q1123"/>
      <c r="R1123"/>
      <c r="AK1123" s="351"/>
      <c r="AL1123" s="351"/>
      <c r="AM1123" s="351"/>
      <c r="AN1123" s="351"/>
      <c r="AO1123" s="351"/>
      <c r="AP1123" s="351"/>
      <c r="AQ1123" s="351"/>
      <c r="AR1123" s="770"/>
      <c r="AS1123" s="770"/>
      <c r="AT1123" s="770"/>
      <c r="BM1123" s="335"/>
    </row>
    <row r="1124" spans="13:65" ht="20" customHeight="1">
      <c r="M1124" s="45"/>
      <c r="N1124"/>
      <c r="O1124"/>
      <c r="P1124"/>
      <c r="Q1124"/>
      <c r="R1124"/>
      <c r="AK1124" s="351"/>
      <c r="AL1124" s="351"/>
      <c r="AM1124" s="351"/>
      <c r="AN1124" s="351"/>
      <c r="AO1124" s="351"/>
      <c r="AP1124" s="351"/>
      <c r="AQ1124" s="351"/>
      <c r="AR1124" s="770"/>
      <c r="AS1124" s="770"/>
      <c r="AT1124" s="770"/>
      <c r="BM1124" s="335"/>
    </row>
    <row r="1125" spans="13:65" ht="20" customHeight="1">
      <c r="M1125" s="45"/>
      <c r="N1125"/>
      <c r="O1125"/>
      <c r="P1125"/>
      <c r="Q1125"/>
      <c r="R1125"/>
      <c r="AK1125" s="351"/>
      <c r="AL1125" s="351"/>
      <c r="AM1125" s="351"/>
      <c r="AN1125" s="351"/>
      <c r="AO1125" s="351"/>
      <c r="AP1125" s="351"/>
      <c r="AQ1125" s="351"/>
      <c r="AR1125" s="770"/>
      <c r="AS1125" s="770"/>
      <c r="AT1125" s="770"/>
      <c r="BM1125" s="335"/>
    </row>
    <row r="1126" spans="13:65" ht="20" customHeight="1">
      <c r="M1126" s="45"/>
      <c r="N1126"/>
      <c r="O1126"/>
      <c r="P1126"/>
      <c r="Q1126"/>
      <c r="R1126"/>
      <c r="AK1126" s="351"/>
      <c r="AL1126" s="351"/>
      <c r="AM1126" s="351"/>
      <c r="AN1126" s="351"/>
      <c r="AO1126" s="351"/>
      <c r="AP1126" s="351"/>
      <c r="AQ1126" s="351"/>
      <c r="AR1126" s="770"/>
      <c r="AS1126" s="770"/>
      <c r="AT1126" s="770"/>
      <c r="BM1126" s="335"/>
    </row>
    <row r="1127" spans="13:65" ht="20" customHeight="1">
      <c r="M1127" s="45"/>
      <c r="N1127"/>
      <c r="O1127"/>
      <c r="P1127"/>
      <c r="Q1127"/>
      <c r="R1127"/>
      <c r="AK1127" s="351"/>
      <c r="AL1127" s="351"/>
      <c r="AM1127" s="351"/>
      <c r="AN1127" s="351"/>
      <c r="AO1127" s="351"/>
      <c r="AP1127" s="351"/>
      <c r="AQ1127" s="351"/>
      <c r="AR1127" s="770"/>
      <c r="AS1127" s="770"/>
      <c r="AT1127" s="770"/>
      <c r="BM1127" s="335"/>
    </row>
    <row r="1128" spans="13:65" ht="20" customHeight="1">
      <c r="M1128" s="45"/>
      <c r="N1128"/>
      <c r="O1128"/>
      <c r="P1128"/>
      <c r="Q1128"/>
      <c r="R1128"/>
      <c r="AK1128" s="351"/>
      <c r="AL1128" s="351"/>
      <c r="AM1128" s="351"/>
      <c r="AN1128" s="351"/>
      <c r="AO1128" s="351"/>
      <c r="AP1128" s="351"/>
      <c r="AQ1128" s="351"/>
      <c r="AR1128" s="770"/>
      <c r="AS1128" s="770"/>
      <c r="AT1128" s="770"/>
      <c r="BM1128" s="335"/>
    </row>
    <row r="1129" spans="13:65" ht="20" customHeight="1">
      <c r="M1129" s="45"/>
      <c r="N1129"/>
      <c r="O1129"/>
      <c r="P1129"/>
      <c r="Q1129"/>
      <c r="R1129"/>
      <c r="AK1129" s="351"/>
      <c r="AL1129" s="351"/>
      <c r="AM1129" s="351"/>
      <c r="AN1129" s="351"/>
      <c r="AO1129" s="351"/>
      <c r="AP1129" s="351"/>
      <c r="AQ1129" s="351"/>
      <c r="AR1129" s="770"/>
      <c r="AS1129" s="770"/>
      <c r="AT1129" s="770"/>
      <c r="BM1129" s="335"/>
    </row>
    <row r="1130" spans="13:65" ht="20" customHeight="1">
      <c r="M1130" s="45"/>
      <c r="N1130"/>
      <c r="O1130"/>
      <c r="P1130"/>
      <c r="Q1130"/>
      <c r="R1130"/>
      <c r="AK1130" s="351"/>
      <c r="AL1130" s="351"/>
      <c r="AM1130" s="351"/>
      <c r="AN1130" s="351"/>
      <c r="AO1130" s="351"/>
      <c r="AP1130" s="351"/>
      <c r="AQ1130" s="351"/>
      <c r="AR1130" s="770"/>
      <c r="AS1130" s="770"/>
      <c r="AT1130" s="770"/>
      <c r="BM1130" s="335"/>
    </row>
    <row r="1131" spans="13:65" ht="20" customHeight="1">
      <c r="M1131" s="45"/>
      <c r="N1131"/>
      <c r="O1131"/>
      <c r="P1131"/>
      <c r="Q1131"/>
      <c r="R1131"/>
      <c r="AK1131" s="351"/>
      <c r="AL1131" s="351"/>
      <c r="AM1131" s="351"/>
      <c r="AN1131" s="351"/>
      <c r="AO1131" s="351"/>
      <c r="AP1131" s="351"/>
      <c r="AQ1131" s="351"/>
      <c r="AR1131" s="770"/>
      <c r="AS1131" s="770"/>
      <c r="AT1131" s="770"/>
      <c r="BM1131" s="335"/>
    </row>
    <row r="1132" spans="13:65" ht="20" customHeight="1">
      <c r="M1132" s="45"/>
      <c r="N1132"/>
      <c r="O1132"/>
      <c r="P1132"/>
      <c r="Q1132"/>
      <c r="R1132"/>
      <c r="AK1132" s="351"/>
      <c r="AL1132" s="351"/>
      <c r="AM1132" s="351"/>
      <c r="AN1132" s="351"/>
      <c r="AO1132" s="351"/>
      <c r="AP1132" s="351"/>
      <c r="AQ1132" s="351"/>
      <c r="AR1132" s="770"/>
      <c r="AS1132" s="770"/>
      <c r="AT1132" s="770"/>
      <c r="BM1132" s="335"/>
    </row>
    <row r="1133" spans="13:65" ht="20" customHeight="1">
      <c r="M1133" s="45"/>
      <c r="N1133"/>
      <c r="O1133"/>
      <c r="P1133"/>
      <c r="Q1133"/>
      <c r="R1133"/>
      <c r="AK1133" s="351"/>
      <c r="AL1133" s="351"/>
      <c r="AM1133" s="351"/>
      <c r="AN1133" s="351"/>
      <c r="AO1133" s="351"/>
      <c r="AP1133" s="351"/>
      <c r="AQ1133" s="351"/>
      <c r="AR1133" s="770"/>
      <c r="AS1133" s="770"/>
      <c r="AT1133" s="770"/>
      <c r="BM1133" s="335"/>
    </row>
    <row r="1134" spans="13:65" ht="20" customHeight="1">
      <c r="M1134" s="45"/>
      <c r="N1134"/>
      <c r="O1134"/>
      <c r="P1134"/>
      <c r="Q1134"/>
      <c r="R1134"/>
      <c r="AK1134" s="351"/>
      <c r="AL1134" s="351"/>
      <c r="AM1134" s="351"/>
      <c r="AN1134" s="351"/>
      <c r="AO1134" s="351"/>
      <c r="AP1134" s="351"/>
      <c r="AQ1134" s="351"/>
      <c r="AR1134" s="770"/>
      <c r="AS1134" s="770"/>
      <c r="AT1134" s="770"/>
      <c r="BM1134" s="335"/>
    </row>
    <row r="1135" spans="13:65" ht="20" customHeight="1">
      <c r="M1135" s="45"/>
      <c r="N1135"/>
      <c r="O1135"/>
      <c r="P1135"/>
      <c r="Q1135"/>
      <c r="R1135"/>
      <c r="AK1135" s="351"/>
      <c r="AL1135" s="351"/>
      <c r="AM1135" s="351"/>
      <c r="AN1135" s="351"/>
      <c r="AO1135" s="351"/>
      <c r="AP1135" s="351"/>
      <c r="AQ1135" s="351"/>
      <c r="AR1135" s="770"/>
      <c r="AS1135" s="770"/>
      <c r="AT1135" s="770"/>
      <c r="BM1135" s="335"/>
    </row>
    <row r="1136" spans="13:65" ht="20" customHeight="1">
      <c r="M1136" s="45"/>
      <c r="N1136"/>
      <c r="O1136"/>
      <c r="P1136"/>
      <c r="Q1136"/>
      <c r="R1136"/>
      <c r="AK1136" s="351"/>
      <c r="AL1136" s="351"/>
      <c r="AM1136" s="351"/>
      <c r="AN1136" s="351"/>
      <c r="AO1136" s="351"/>
      <c r="AP1136" s="351"/>
      <c r="AQ1136" s="351"/>
      <c r="AR1136" s="770"/>
      <c r="AS1136" s="770"/>
      <c r="AT1136" s="770"/>
      <c r="BM1136" s="335"/>
    </row>
    <row r="1137" spans="13:65" ht="20" customHeight="1">
      <c r="M1137" s="45"/>
      <c r="N1137"/>
      <c r="O1137"/>
      <c r="P1137"/>
      <c r="Q1137"/>
      <c r="R1137"/>
      <c r="AK1137" s="351"/>
      <c r="AL1137" s="351"/>
      <c r="AM1137" s="351"/>
      <c r="AN1137" s="351"/>
      <c r="AO1137" s="351"/>
      <c r="AP1137" s="351"/>
      <c r="AQ1137" s="351"/>
      <c r="AR1137" s="770"/>
      <c r="AS1137" s="770"/>
      <c r="AT1137" s="770"/>
      <c r="BM1137" s="335"/>
    </row>
    <row r="1138" spans="13:65" ht="20" customHeight="1">
      <c r="M1138" s="45"/>
      <c r="N1138"/>
      <c r="O1138"/>
      <c r="P1138"/>
      <c r="Q1138"/>
      <c r="R1138"/>
      <c r="AK1138" s="351"/>
      <c r="AL1138" s="351"/>
      <c r="AM1138" s="351"/>
      <c r="AN1138" s="351"/>
      <c r="AO1138" s="351"/>
      <c r="AP1138" s="351"/>
      <c r="AQ1138" s="351"/>
      <c r="AR1138" s="770"/>
      <c r="AS1138" s="770"/>
      <c r="AT1138" s="770"/>
      <c r="BM1138" s="335"/>
    </row>
    <row r="1139" spans="13:65" ht="20" customHeight="1">
      <c r="M1139" s="45"/>
      <c r="N1139"/>
      <c r="O1139"/>
      <c r="P1139"/>
      <c r="Q1139"/>
      <c r="R1139"/>
      <c r="AK1139" s="351"/>
      <c r="AL1139" s="351"/>
      <c r="AM1139" s="351"/>
      <c r="AN1139" s="351"/>
      <c r="AO1139" s="351"/>
      <c r="AP1139" s="351"/>
      <c r="AQ1139" s="351"/>
      <c r="AR1139" s="770"/>
      <c r="AS1139" s="770"/>
      <c r="AT1139" s="770"/>
      <c r="BM1139" s="335"/>
    </row>
    <row r="1140" spans="13:65" ht="20" customHeight="1">
      <c r="M1140" s="45"/>
      <c r="N1140"/>
      <c r="O1140"/>
      <c r="P1140"/>
      <c r="Q1140"/>
      <c r="R1140"/>
      <c r="AK1140" s="351"/>
      <c r="AL1140" s="351"/>
      <c r="AM1140" s="351"/>
      <c r="AN1140" s="351"/>
      <c r="AO1140" s="351"/>
      <c r="AP1140" s="351"/>
      <c r="AQ1140" s="351"/>
      <c r="AR1140" s="770"/>
      <c r="AS1140" s="770"/>
      <c r="AT1140" s="770"/>
      <c r="BM1140" s="335"/>
    </row>
    <row r="1141" spans="13:65" ht="20" customHeight="1">
      <c r="M1141" s="45"/>
      <c r="N1141"/>
      <c r="O1141"/>
      <c r="P1141"/>
      <c r="Q1141"/>
      <c r="R1141"/>
      <c r="AK1141" s="351"/>
      <c r="AL1141" s="351"/>
      <c r="AM1141" s="351"/>
      <c r="AN1141" s="351"/>
      <c r="AO1141" s="351"/>
      <c r="AP1141" s="351"/>
      <c r="AQ1141" s="351"/>
      <c r="AR1141" s="770"/>
      <c r="AS1141" s="770"/>
      <c r="AT1141" s="770"/>
      <c r="BM1141" s="335"/>
    </row>
    <row r="1142" spans="13:65" ht="20" customHeight="1">
      <c r="M1142" s="45"/>
      <c r="N1142"/>
      <c r="O1142"/>
      <c r="P1142"/>
      <c r="Q1142"/>
      <c r="R1142"/>
      <c r="AK1142" s="351"/>
      <c r="AL1142" s="351"/>
      <c r="AM1142" s="351"/>
      <c r="AN1142" s="351"/>
      <c r="AO1142" s="351"/>
      <c r="AP1142" s="351"/>
      <c r="AQ1142" s="351"/>
      <c r="AR1142" s="770"/>
      <c r="AS1142" s="770"/>
      <c r="AT1142" s="770"/>
      <c r="BM1142" s="335"/>
    </row>
    <row r="1143" spans="13:65" ht="20" customHeight="1">
      <c r="M1143" s="45"/>
      <c r="N1143"/>
      <c r="O1143"/>
      <c r="P1143"/>
      <c r="Q1143"/>
      <c r="R1143"/>
      <c r="AK1143" s="351"/>
      <c r="AL1143" s="351"/>
      <c r="AM1143" s="351"/>
      <c r="AN1143" s="351"/>
      <c r="AO1143" s="351"/>
      <c r="AP1143" s="351"/>
      <c r="AQ1143" s="351"/>
      <c r="AR1143" s="770"/>
      <c r="AS1143" s="770"/>
      <c r="AT1143" s="770"/>
      <c r="BM1143" s="335"/>
    </row>
    <row r="1144" spans="13:65" ht="20" customHeight="1">
      <c r="M1144" s="45"/>
      <c r="N1144"/>
      <c r="O1144"/>
      <c r="P1144"/>
      <c r="Q1144"/>
      <c r="R1144"/>
      <c r="AK1144" s="351"/>
      <c r="AL1144" s="351"/>
      <c r="AM1144" s="351"/>
      <c r="AN1144" s="351"/>
      <c r="AO1144" s="351"/>
      <c r="AP1144" s="351"/>
      <c r="AQ1144" s="351"/>
      <c r="AR1144" s="770"/>
      <c r="AS1144" s="770"/>
      <c r="AT1144" s="770"/>
      <c r="BM1144" s="335"/>
    </row>
    <row r="1145" spans="13:65" ht="20" customHeight="1">
      <c r="M1145" s="45"/>
      <c r="N1145"/>
      <c r="O1145"/>
      <c r="P1145"/>
      <c r="Q1145"/>
      <c r="R1145"/>
      <c r="AK1145" s="351"/>
      <c r="AL1145" s="351"/>
      <c r="AM1145" s="351"/>
      <c r="AN1145" s="351"/>
      <c r="AO1145" s="351"/>
      <c r="AP1145" s="351"/>
      <c r="AQ1145" s="351"/>
      <c r="AR1145" s="770"/>
      <c r="AS1145" s="770"/>
      <c r="AT1145" s="770"/>
      <c r="BM1145" s="335"/>
    </row>
    <row r="1146" spans="13:65" ht="20" customHeight="1">
      <c r="M1146" s="45"/>
      <c r="N1146"/>
      <c r="O1146"/>
      <c r="P1146"/>
      <c r="Q1146"/>
      <c r="R1146"/>
      <c r="AK1146" s="351"/>
      <c r="AL1146" s="351"/>
      <c r="AM1146" s="351"/>
      <c r="AN1146" s="351"/>
      <c r="AO1146" s="351"/>
      <c r="AP1146" s="351"/>
      <c r="AQ1146" s="351"/>
      <c r="AR1146" s="770"/>
      <c r="AS1146" s="770"/>
      <c r="AT1146" s="770"/>
      <c r="BM1146" s="335"/>
    </row>
    <row r="1147" spans="13:65" ht="20" customHeight="1">
      <c r="M1147" s="45"/>
      <c r="N1147"/>
      <c r="O1147"/>
      <c r="P1147"/>
      <c r="Q1147"/>
      <c r="R1147"/>
      <c r="AK1147" s="351"/>
      <c r="AL1147" s="351"/>
      <c r="AM1147" s="351"/>
      <c r="AN1147" s="351"/>
      <c r="AO1147" s="351"/>
      <c r="AP1147" s="351"/>
      <c r="AQ1147" s="351"/>
      <c r="AR1147" s="770"/>
      <c r="AS1147" s="770"/>
      <c r="AT1147" s="770"/>
      <c r="BM1147" s="335"/>
    </row>
    <row r="1148" spans="13:65" ht="20" customHeight="1">
      <c r="M1148" s="45"/>
      <c r="N1148"/>
      <c r="O1148"/>
      <c r="P1148"/>
      <c r="Q1148"/>
      <c r="R1148"/>
      <c r="AK1148" s="351"/>
      <c r="AL1148" s="351"/>
      <c r="AM1148" s="351"/>
      <c r="AN1148" s="351"/>
      <c r="AO1148" s="351"/>
      <c r="AP1148" s="351"/>
      <c r="AQ1148" s="351"/>
      <c r="AR1148" s="770"/>
      <c r="AS1148" s="770"/>
      <c r="AT1148" s="770"/>
      <c r="BM1148" s="335"/>
    </row>
    <row r="1149" spans="13:65" ht="20" customHeight="1">
      <c r="M1149" s="45"/>
      <c r="N1149"/>
      <c r="O1149"/>
      <c r="P1149"/>
      <c r="Q1149"/>
      <c r="R1149"/>
      <c r="AK1149" s="351"/>
      <c r="AL1149" s="351"/>
      <c r="AM1149" s="351"/>
      <c r="AN1149" s="351"/>
      <c r="AO1149" s="351"/>
      <c r="AP1149" s="351"/>
      <c r="AQ1149" s="351"/>
      <c r="AR1149" s="770"/>
      <c r="AS1149" s="770"/>
      <c r="AT1149" s="770"/>
      <c r="BM1149" s="335"/>
    </row>
    <row r="1150" spans="13:65" ht="20" customHeight="1">
      <c r="M1150" s="45"/>
      <c r="N1150"/>
      <c r="O1150"/>
      <c r="P1150"/>
      <c r="Q1150"/>
      <c r="R1150"/>
      <c r="AK1150" s="351"/>
      <c r="AL1150" s="351"/>
      <c r="AM1150" s="351"/>
      <c r="AN1150" s="351"/>
      <c r="AO1150" s="351"/>
      <c r="AP1150" s="351"/>
      <c r="AQ1150" s="351"/>
      <c r="AR1150" s="770"/>
      <c r="AS1150" s="770"/>
      <c r="AT1150" s="770"/>
      <c r="BM1150" s="335"/>
    </row>
    <row r="1151" spans="13:65" ht="20" customHeight="1">
      <c r="M1151" s="45"/>
      <c r="N1151"/>
      <c r="O1151"/>
      <c r="P1151"/>
      <c r="Q1151"/>
      <c r="R1151"/>
      <c r="AK1151" s="351"/>
      <c r="AL1151" s="351"/>
      <c r="AM1151" s="351"/>
      <c r="AN1151" s="351"/>
      <c r="AO1151" s="351"/>
      <c r="AP1151" s="351"/>
      <c r="AQ1151" s="351"/>
      <c r="AR1151" s="770"/>
      <c r="AS1151" s="770"/>
      <c r="AT1151" s="770"/>
      <c r="BM1151" s="335"/>
    </row>
    <row r="1152" spans="13:65" ht="20" customHeight="1">
      <c r="M1152" s="45"/>
      <c r="N1152"/>
      <c r="O1152"/>
      <c r="P1152"/>
      <c r="Q1152"/>
      <c r="R1152"/>
      <c r="AK1152" s="351"/>
      <c r="AL1152" s="351"/>
      <c r="AM1152" s="351"/>
      <c r="AN1152" s="351"/>
      <c r="AO1152" s="351"/>
      <c r="AP1152" s="351"/>
      <c r="AQ1152" s="351"/>
      <c r="AR1152" s="770"/>
      <c r="AS1152" s="770"/>
      <c r="AT1152" s="770"/>
      <c r="BM1152" s="335"/>
    </row>
    <row r="1153" spans="13:65" ht="20" customHeight="1">
      <c r="M1153" s="45"/>
      <c r="N1153"/>
      <c r="O1153"/>
      <c r="P1153"/>
      <c r="Q1153"/>
      <c r="R1153"/>
      <c r="AK1153" s="351"/>
      <c r="AL1153" s="351"/>
      <c r="AM1153" s="351"/>
      <c r="AN1153" s="351"/>
      <c r="AO1153" s="351"/>
      <c r="AP1153" s="351"/>
      <c r="AQ1153" s="351"/>
      <c r="AR1153" s="770"/>
      <c r="AS1153" s="770"/>
      <c r="AT1153" s="770"/>
      <c r="BM1153" s="335"/>
    </row>
    <row r="1154" spans="13:65" ht="20" customHeight="1">
      <c r="M1154" s="45"/>
      <c r="N1154"/>
      <c r="O1154"/>
      <c r="P1154"/>
      <c r="Q1154"/>
      <c r="R1154"/>
      <c r="AK1154" s="351"/>
      <c r="AL1154" s="351"/>
      <c r="AM1154" s="351"/>
      <c r="AN1154" s="351"/>
      <c r="AO1154" s="351"/>
      <c r="AP1154" s="351"/>
      <c r="AQ1154" s="351"/>
      <c r="AR1154" s="770"/>
      <c r="AS1154" s="770"/>
      <c r="AT1154" s="770"/>
      <c r="BM1154" s="335"/>
    </row>
    <row r="1155" spans="13:65" ht="20" customHeight="1">
      <c r="M1155" s="45"/>
      <c r="N1155"/>
      <c r="O1155"/>
      <c r="P1155"/>
      <c r="Q1155"/>
      <c r="R1155"/>
      <c r="AK1155" s="351"/>
      <c r="AL1155" s="351"/>
      <c r="AM1155" s="351"/>
      <c r="AN1155" s="351"/>
      <c r="AO1155" s="351"/>
      <c r="AP1155" s="351"/>
      <c r="AQ1155" s="351"/>
      <c r="AR1155" s="770"/>
      <c r="AS1155" s="770"/>
      <c r="AT1155" s="770"/>
      <c r="BM1155" s="335"/>
    </row>
    <row r="1156" spans="13:65" ht="20" customHeight="1">
      <c r="M1156" s="45"/>
      <c r="N1156"/>
      <c r="O1156"/>
      <c r="P1156"/>
      <c r="Q1156"/>
      <c r="R1156"/>
      <c r="AK1156" s="351"/>
      <c r="AL1156" s="351"/>
      <c r="AM1156" s="351"/>
      <c r="AN1156" s="351"/>
      <c r="AO1156" s="351"/>
      <c r="AP1156" s="351"/>
      <c r="AQ1156" s="351"/>
      <c r="AR1156" s="770"/>
      <c r="AS1156" s="770"/>
      <c r="AT1156" s="770"/>
      <c r="BM1156" s="335"/>
    </row>
    <row r="1157" spans="13:65" ht="20" customHeight="1">
      <c r="M1157" s="45"/>
      <c r="N1157"/>
      <c r="O1157"/>
      <c r="P1157"/>
      <c r="Q1157"/>
      <c r="R1157"/>
      <c r="AK1157" s="351"/>
      <c r="AL1157" s="351"/>
      <c r="AM1157" s="351"/>
      <c r="AN1157" s="351"/>
      <c r="AO1157" s="351"/>
      <c r="AP1157" s="351"/>
      <c r="AQ1157" s="351"/>
      <c r="AR1157" s="770"/>
      <c r="AS1157" s="770"/>
      <c r="AT1157" s="770"/>
      <c r="BM1157" s="335"/>
    </row>
    <row r="1158" spans="13:65" ht="20" customHeight="1">
      <c r="M1158" s="45"/>
      <c r="N1158"/>
      <c r="O1158"/>
      <c r="P1158"/>
      <c r="Q1158"/>
      <c r="R1158"/>
      <c r="AK1158" s="351"/>
      <c r="AL1158" s="351"/>
      <c r="AM1158" s="351"/>
      <c r="AN1158" s="351"/>
      <c r="AO1158" s="351"/>
      <c r="AP1158" s="351"/>
      <c r="AQ1158" s="351"/>
      <c r="AR1158" s="770"/>
      <c r="AS1158" s="770"/>
      <c r="AT1158" s="770"/>
      <c r="BM1158" s="335"/>
    </row>
    <row r="1159" spans="13:65" ht="20" customHeight="1">
      <c r="M1159" s="45"/>
      <c r="N1159"/>
      <c r="O1159"/>
      <c r="P1159"/>
      <c r="Q1159"/>
      <c r="R1159"/>
      <c r="AK1159" s="351"/>
      <c r="AL1159" s="351"/>
      <c r="AM1159" s="351"/>
      <c r="AN1159" s="351"/>
      <c r="AO1159" s="351"/>
      <c r="AP1159" s="351"/>
      <c r="AQ1159" s="351"/>
      <c r="AR1159" s="770"/>
      <c r="AS1159" s="770"/>
      <c r="AT1159" s="770"/>
      <c r="BM1159" s="335"/>
    </row>
    <row r="1160" spans="13:65" ht="20" customHeight="1">
      <c r="M1160" s="45"/>
      <c r="N1160"/>
      <c r="O1160"/>
      <c r="P1160"/>
      <c r="Q1160"/>
      <c r="R1160"/>
      <c r="AK1160" s="351"/>
      <c r="AL1160" s="351"/>
      <c r="AM1160" s="351"/>
      <c r="AN1160" s="351"/>
      <c r="AO1160" s="351"/>
      <c r="AP1160" s="351"/>
      <c r="AQ1160" s="351"/>
      <c r="AR1160" s="770"/>
      <c r="AS1160" s="770"/>
      <c r="AT1160" s="770"/>
      <c r="BM1160" s="335"/>
    </row>
    <row r="1161" spans="13:65" ht="20" customHeight="1">
      <c r="M1161" s="45"/>
      <c r="N1161"/>
      <c r="O1161"/>
      <c r="P1161"/>
      <c r="Q1161"/>
      <c r="R1161"/>
      <c r="AK1161" s="351"/>
      <c r="AL1161" s="351"/>
      <c r="AM1161" s="351"/>
      <c r="AN1161" s="351"/>
      <c r="AO1161" s="351"/>
      <c r="AP1161" s="351"/>
      <c r="AQ1161" s="351"/>
      <c r="AR1161" s="770"/>
      <c r="AS1161" s="770"/>
      <c r="AT1161" s="770"/>
      <c r="BM1161" s="335"/>
    </row>
    <row r="1162" spans="13:65" ht="20" customHeight="1">
      <c r="M1162" s="45"/>
      <c r="N1162"/>
      <c r="O1162"/>
      <c r="P1162"/>
      <c r="Q1162"/>
      <c r="R1162"/>
      <c r="AK1162" s="351"/>
      <c r="AL1162" s="351"/>
      <c r="AM1162" s="351"/>
      <c r="AN1162" s="351"/>
      <c r="AO1162" s="351"/>
      <c r="AP1162" s="351"/>
      <c r="AQ1162" s="351"/>
      <c r="AR1162" s="770"/>
      <c r="AS1162" s="770"/>
      <c r="AT1162" s="770"/>
      <c r="BM1162" s="335"/>
    </row>
    <row r="1163" spans="13:65" ht="20" customHeight="1">
      <c r="M1163" s="45"/>
      <c r="N1163"/>
      <c r="O1163"/>
      <c r="P1163"/>
      <c r="Q1163"/>
      <c r="R1163"/>
      <c r="AK1163" s="351"/>
      <c r="AL1163" s="351"/>
      <c r="AM1163" s="351"/>
      <c r="AN1163" s="351"/>
      <c r="AO1163" s="351"/>
      <c r="AP1163" s="351"/>
      <c r="AQ1163" s="351"/>
      <c r="AR1163" s="770"/>
      <c r="AS1163" s="770"/>
      <c r="AT1163" s="770"/>
      <c r="BM1163" s="335"/>
    </row>
    <row r="1164" spans="13:65" ht="20" customHeight="1">
      <c r="M1164" s="45"/>
      <c r="N1164"/>
      <c r="O1164"/>
      <c r="P1164"/>
      <c r="Q1164"/>
      <c r="R1164"/>
      <c r="AK1164" s="351"/>
      <c r="AL1164" s="351"/>
      <c r="AM1164" s="351"/>
      <c r="AN1164" s="351"/>
      <c r="AO1164" s="351"/>
      <c r="AP1164" s="351"/>
      <c r="AQ1164" s="351"/>
      <c r="AR1164" s="770"/>
      <c r="AS1164" s="770"/>
      <c r="AT1164" s="770"/>
      <c r="BM1164" s="335"/>
    </row>
    <row r="1165" spans="13:65" ht="20" customHeight="1">
      <c r="M1165" s="45"/>
      <c r="N1165"/>
      <c r="O1165"/>
      <c r="P1165"/>
      <c r="Q1165"/>
      <c r="R1165"/>
      <c r="AK1165" s="351"/>
      <c r="AL1165" s="351"/>
      <c r="AM1165" s="351"/>
      <c r="AN1165" s="351"/>
      <c r="AO1165" s="351"/>
      <c r="AP1165" s="351"/>
      <c r="AQ1165" s="351"/>
      <c r="AR1165" s="770"/>
      <c r="AS1165" s="770"/>
      <c r="AT1165" s="770"/>
      <c r="BM1165" s="335"/>
    </row>
    <row r="1166" spans="13:65" ht="20" customHeight="1">
      <c r="M1166" s="45"/>
      <c r="N1166"/>
      <c r="O1166"/>
      <c r="P1166"/>
      <c r="Q1166"/>
      <c r="R1166"/>
      <c r="AK1166" s="351"/>
      <c r="AL1166" s="351"/>
      <c r="AM1166" s="351"/>
      <c r="AN1166" s="351"/>
      <c r="AO1166" s="351"/>
      <c r="AP1166" s="351"/>
      <c r="AQ1166" s="351"/>
      <c r="AR1166" s="770"/>
      <c r="AS1166" s="770"/>
      <c r="AT1166" s="770"/>
      <c r="BM1166" s="335"/>
    </row>
    <row r="1167" spans="13:65" ht="20" customHeight="1">
      <c r="M1167" s="45"/>
      <c r="N1167"/>
      <c r="O1167"/>
      <c r="P1167"/>
      <c r="Q1167"/>
      <c r="R1167"/>
      <c r="AK1167" s="351"/>
      <c r="AL1167" s="351"/>
      <c r="AM1167" s="351"/>
      <c r="AN1167" s="351"/>
      <c r="AO1167" s="351"/>
      <c r="AP1167" s="351"/>
      <c r="AQ1167" s="351"/>
      <c r="AR1167" s="770"/>
      <c r="AS1167" s="770"/>
      <c r="AT1167" s="770"/>
      <c r="BM1167" s="335"/>
    </row>
    <row r="1168" spans="13:65" ht="20" customHeight="1">
      <c r="M1168" s="45"/>
      <c r="N1168"/>
      <c r="O1168"/>
      <c r="P1168"/>
      <c r="Q1168"/>
      <c r="R1168"/>
      <c r="AK1168" s="351"/>
      <c r="AL1168" s="351"/>
      <c r="AM1168" s="351"/>
      <c r="AN1168" s="351"/>
      <c r="AO1168" s="351"/>
      <c r="AP1168" s="351"/>
      <c r="AQ1168" s="351"/>
      <c r="AR1168" s="770"/>
      <c r="AS1168" s="770"/>
      <c r="AT1168" s="770"/>
      <c r="BM1168" s="335"/>
    </row>
    <row r="1169" spans="13:65" ht="20" customHeight="1">
      <c r="M1169" s="45"/>
      <c r="N1169"/>
      <c r="O1169"/>
      <c r="P1169"/>
      <c r="Q1169"/>
      <c r="R1169"/>
      <c r="AK1169" s="351"/>
      <c r="AL1169" s="351"/>
      <c r="AM1169" s="351"/>
      <c r="AN1169" s="351"/>
      <c r="AO1169" s="351"/>
      <c r="AP1169" s="351"/>
      <c r="AQ1169" s="351"/>
      <c r="AR1169" s="770"/>
      <c r="AS1169" s="770"/>
      <c r="AT1169" s="770"/>
      <c r="BM1169" s="335"/>
    </row>
    <row r="1170" spans="13:65" ht="20" customHeight="1">
      <c r="M1170" s="45"/>
      <c r="N1170"/>
      <c r="O1170"/>
      <c r="P1170"/>
      <c r="Q1170"/>
      <c r="R1170"/>
      <c r="AK1170" s="351"/>
      <c r="AL1170" s="351"/>
      <c r="AM1170" s="351"/>
      <c r="AN1170" s="351"/>
      <c r="AO1170" s="351"/>
      <c r="AP1170" s="351"/>
      <c r="AQ1170" s="351"/>
      <c r="AR1170" s="770"/>
      <c r="AS1170" s="770"/>
      <c r="AT1170" s="770"/>
      <c r="BM1170" s="335"/>
    </row>
    <row r="1171" spans="13:65" ht="20" customHeight="1">
      <c r="M1171" s="45"/>
      <c r="N1171"/>
      <c r="O1171"/>
      <c r="P1171"/>
      <c r="Q1171"/>
      <c r="R1171"/>
      <c r="AK1171" s="351"/>
      <c r="AL1171" s="351"/>
      <c r="AM1171" s="351"/>
      <c r="AN1171" s="351"/>
      <c r="AO1171" s="351"/>
      <c r="AP1171" s="351"/>
      <c r="AQ1171" s="351"/>
      <c r="AR1171" s="770"/>
      <c r="AS1171" s="770"/>
      <c r="AT1171" s="770"/>
      <c r="BM1171" s="335"/>
    </row>
    <row r="1172" spans="13:65" ht="20" customHeight="1">
      <c r="M1172" s="45"/>
      <c r="N1172"/>
      <c r="O1172"/>
      <c r="P1172"/>
      <c r="Q1172"/>
      <c r="R1172"/>
      <c r="AK1172" s="351"/>
      <c r="AL1172" s="351"/>
      <c r="AM1172" s="351"/>
      <c r="AN1172" s="351"/>
      <c r="AO1172" s="351"/>
      <c r="AP1172" s="351"/>
      <c r="AQ1172" s="351"/>
      <c r="AR1172" s="770"/>
      <c r="AS1172" s="770"/>
      <c r="AT1172" s="770"/>
      <c r="BM1172" s="335"/>
    </row>
    <row r="1173" spans="13:65" ht="20" customHeight="1">
      <c r="M1173" s="45"/>
      <c r="N1173"/>
      <c r="O1173"/>
      <c r="P1173"/>
      <c r="Q1173"/>
      <c r="R1173"/>
      <c r="AK1173" s="351"/>
      <c r="AL1173" s="351"/>
      <c r="AM1173" s="351"/>
      <c r="AN1173" s="351"/>
      <c r="AO1173" s="351"/>
      <c r="AP1173" s="351"/>
      <c r="AQ1173" s="351"/>
      <c r="AR1173" s="770"/>
      <c r="AS1173" s="770"/>
      <c r="AT1173" s="770"/>
      <c r="BM1173" s="335"/>
    </row>
    <row r="1174" spans="13:65" ht="20" customHeight="1">
      <c r="M1174" s="45"/>
      <c r="N1174"/>
      <c r="O1174"/>
      <c r="P1174"/>
      <c r="Q1174"/>
      <c r="R1174"/>
      <c r="AK1174" s="351"/>
      <c r="AL1174" s="351"/>
      <c r="AM1174" s="351"/>
      <c r="AN1174" s="351"/>
      <c r="AO1174" s="351"/>
      <c r="AP1174" s="351"/>
      <c r="AQ1174" s="351"/>
      <c r="AR1174" s="770"/>
      <c r="AS1174" s="770"/>
      <c r="AT1174" s="770"/>
      <c r="BM1174" s="335"/>
    </row>
    <row r="1175" spans="13:65" ht="20" customHeight="1">
      <c r="M1175" s="45"/>
      <c r="N1175"/>
      <c r="O1175"/>
      <c r="P1175"/>
      <c r="Q1175"/>
      <c r="R1175"/>
      <c r="AK1175" s="351"/>
      <c r="AL1175" s="351"/>
      <c r="AM1175" s="351"/>
      <c r="AN1175" s="351"/>
      <c r="AO1175" s="351"/>
      <c r="AP1175" s="351"/>
      <c r="AQ1175" s="351"/>
      <c r="AR1175" s="770"/>
      <c r="AS1175" s="770"/>
      <c r="AT1175" s="770"/>
      <c r="BM1175" s="335"/>
    </row>
    <row r="1176" spans="13:65" ht="20" customHeight="1">
      <c r="M1176" s="45"/>
      <c r="N1176"/>
      <c r="O1176"/>
      <c r="P1176"/>
      <c r="Q1176"/>
      <c r="R1176"/>
      <c r="AK1176" s="351"/>
      <c r="AL1176" s="351"/>
      <c r="AM1176" s="351"/>
      <c r="AN1176" s="351"/>
      <c r="AO1176" s="351"/>
      <c r="AP1176" s="351"/>
      <c r="AQ1176" s="351"/>
      <c r="AR1176" s="770"/>
      <c r="AS1176" s="770"/>
      <c r="AT1176" s="770"/>
      <c r="BM1176" s="335"/>
    </row>
    <row r="1177" spans="13:65" ht="20" customHeight="1">
      <c r="M1177" s="45"/>
      <c r="N1177"/>
      <c r="O1177"/>
      <c r="P1177"/>
      <c r="Q1177"/>
      <c r="R1177"/>
      <c r="AK1177" s="351"/>
      <c r="AL1177" s="351"/>
      <c r="AM1177" s="351"/>
      <c r="AN1177" s="351"/>
      <c r="AO1177" s="351"/>
      <c r="AP1177" s="351"/>
      <c r="AQ1177" s="351"/>
      <c r="AR1177" s="770"/>
      <c r="AS1177" s="770"/>
      <c r="AT1177" s="770"/>
      <c r="BM1177" s="335"/>
    </row>
    <row r="1178" spans="13:65" ht="20" customHeight="1">
      <c r="M1178" s="45"/>
      <c r="N1178"/>
      <c r="O1178"/>
      <c r="P1178"/>
      <c r="Q1178"/>
      <c r="R1178"/>
      <c r="AK1178" s="351"/>
      <c r="AL1178" s="351"/>
      <c r="AM1178" s="351"/>
      <c r="AN1178" s="351"/>
      <c r="AO1178" s="351"/>
      <c r="AP1178" s="351"/>
      <c r="AQ1178" s="351"/>
      <c r="AR1178" s="770"/>
      <c r="AS1178" s="770"/>
      <c r="AT1178" s="770"/>
      <c r="BM1178" s="335"/>
    </row>
    <row r="1179" spans="13:65" ht="20" customHeight="1">
      <c r="M1179" s="45"/>
      <c r="N1179"/>
      <c r="O1179"/>
      <c r="P1179"/>
      <c r="Q1179"/>
      <c r="R1179"/>
      <c r="AK1179" s="351"/>
      <c r="AL1179" s="351"/>
      <c r="AM1179" s="351"/>
      <c r="AN1179" s="351"/>
      <c r="AO1179" s="351"/>
      <c r="AP1179" s="351"/>
      <c r="AQ1179" s="351"/>
      <c r="AR1179" s="770"/>
      <c r="AS1179" s="770"/>
      <c r="AT1179" s="770"/>
      <c r="BM1179" s="335"/>
    </row>
    <row r="1180" spans="13:65" ht="20" customHeight="1">
      <c r="M1180" s="45"/>
      <c r="N1180"/>
      <c r="O1180"/>
      <c r="P1180"/>
      <c r="Q1180"/>
      <c r="R1180"/>
      <c r="AK1180" s="351"/>
      <c r="AL1180" s="351"/>
      <c r="AM1180" s="351"/>
      <c r="AN1180" s="351"/>
      <c r="AO1180" s="351"/>
      <c r="AP1180" s="351"/>
      <c r="AQ1180" s="351"/>
      <c r="AR1180" s="770"/>
      <c r="AS1180" s="770"/>
      <c r="AT1180" s="770"/>
      <c r="BM1180" s="335"/>
    </row>
    <row r="1181" spans="13:65" ht="20" customHeight="1">
      <c r="M1181" s="45"/>
      <c r="N1181"/>
      <c r="O1181"/>
      <c r="P1181"/>
      <c r="Q1181"/>
      <c r="R1181"/>
      <c r="AK1181" s="351"/>
      <c r="AL1181" s="351"/>
      <c r="AM1181" s="351"/>
      <c r="AN1181" s="351"/>
      <c r="AO1181" s="351"/>
      <c r="AP1181" s="351"/>
      <c r="AQ1181" s="351"/>
      <c r="AR1181" s="770"/>
      <c r="AS1181" s="770"/>
      <c r="AT1181" s="770"/>
      <c r="BM1181" s="335"/>
    </row>
    <row r="1182" spans="13:65" ht="20" customHeight="1">
      <c r="M1182" s="45"/>
      <c r="N1182"/>
      <c r="O1182"/>
      <c r="P1182"/>
      <c r="Q1182"/>
      <c r="R1182"/>
      <c r="AK1182" s="351"/>
      <c r="AL1182" s="351"/>
      <c r="AM1182" s="351"/>
      <c r="AN1182" s="351"/>
      <c r="AO1182" s="351"/>
      <c r="AP1182" s="351"/>
      <c r="AQ1182" s="351"/>
      <c r="AR1182" s="770"/>
      <c r="AS1182" s="770"/>
      <c r="AT1182" s="770"/>
      <c r="BM1182" s="335"/>
    </row>
    <row r="1183" spans="13:65" ht="20" customHeight="1">
      <c r="M1183" s="45"/>
      <c r="N1183"/>
      <c r="O1183"/>
      <c r="P1183"/>
      <c r="Q1183"/>
      <c r="R1183"/>
      <c r="AK1183" s="351"/>
      <c r="AL1183" s="351"/>
      <c r="AM1183" s="351"/>
      <c r="AN1183" s="351"/>
      <c r="AO1183" s="351"/>
      <c r="AP1183" s="351"/>
      <c r="AQ1183" s="351"/>
      <c r="AR1183" s="770"/>
      <c r="AS1183" s="770"/>
      <c r="AT1183" s="770"/>
      <c r="BM1183" s="335"/>
    </row>
    <row r="1184" spans="13:65" ht="20" customHeight="1">
      <c r="M1184" s="45"/>
      <c r="N1184"/>
      <c r="O1184"/>
      <c r="P1184"/>
      <c r="Q1184"/>
      <c r="R1184"/>
      <c r="AK1184" s="351"/>
      <c r="AL1184" s="351"/>
      <c r="AM1184" s="351"/>
      <c r="AN1184" s="351"/>
      <c r="AO1184" s="351"/>
      <c r="AP1184" s="351"/>
      <c r="AQ1184" s="351"/>
      <c r="AR1184" s="770"/>
      <c r="AS1184" s="770"/>
      <c r="AT1184" s="770"/>
      <c r="BM1184" s="335"/>
    </row>
    <row r="1185" spans="13:65" ht="20" customHeight="1">
      <c r="M1185" s="45"/>
      <c r="N1185"/>
      <c r="O1185"/>
      <c r="P1185"/>
      <c r="Q1185"/>
      <c r="R1185"/>
      <c r="AK1185" s="351"/>
      <c r="AL1185" s="351"/>
      <c r="AM1185" s="351"/>
      <c r="AN1185" s="351"/>
      <c r="AO1185" s="351"/>
      <c r="AP1185" s="351"/>
      <c r="AQ1185" s="351"/>
      <c r="AR1185" s="770"/>
      <c r="AS1185" s="770"/>
      <c r="AT1185" s="770"/>
      <c r="BM1185" s="335"/>
    </row>
    <row r="1186" spans="13:65" ht="20" customHeight="1">
      <c r="M1186" s="45"/>
      <c r="N1186"/>
      <c r="O1186"/>
      <c r="P1186"/>
      <c r="Q1186"/>
      <c r="R1186"/>
      <c r="AK1186" s="351"/>
      <c r="AL1186" s="351"/>
      <c r="AM1186" s="351"/>
      <c r="AN1186" s="351"/>
      <c r="AO1186" s="351"/>
      <c r="AP1186" s="351"/>
      <c r="AQ1186" s="351"/>
      <c r="AR1186" s="770"/>
      <c r="AS1186" s="770"/>
      <c r="AT1186" s="770"/>
      <c r="BM1186" s="335"/>
    </row>
    <row r="1187" spans="13:65" ht="20" customHeight="1">
      <c r="M1187" s="45"/>
      <c r="N1187"/>
      <c r="O1187"/>
      <c r="P1187"/>
      <c r="Q1187"/>
      <c r="R1187"/>
      <c r="AK1187" s="351"/>
      <c r="AL1187" s="351"/>
      <c r="AM1187" s="351"/>
      <c r="AN1187" s="351"/>
      <c r="AO1187" s="351"/>
      <c r="AP1187" s="351"/>
      <c r="AQ1187" s="351"/>
      <c r="AR1187" s="770"/>
      <c r="AS1187" s="770"/>
      <c r="AT1187" s="770"/>
      <c r="BM1187" s="335"/>
    </row>
    <row r="1188" spans="13:65" ht="20" customHeight="1">
      <c r="M1188" s="45"/>
      <c r="N1188"/>
      <c r="O1188"/>
      <c r="P1188"/>
      <c r="Q1188"/>
      <c r="R1188"/>
      <c r="AK1188" s="351"/>
      <c r="AL1188" s="351"/>
      <c r="AM1188" s="351"/>
      <c r="AN1188" s="351"/>
      <c r="AO1188" s="351"/>
      <c r="AP1188" s="351"/>
      <c r="AQ1188" s="351"/>
      <c r="AR1188" s="770"/>
      <c r="AS1188" s="770"/>
      <c r="AT1188" s="770"/>
      <c r="BM1188" s="335"/>
    </row>
    <row r="1189" spans="13:65" ht="20" customHeight="1">
      <c r="M1189" s="45"/>
      <c r="N1189"/>
      <c r="O1189"/>
      <c r="P1189"/>
      <c r="Q1189"/>
      <c r="R1189"/>
      <c r="AK1189" s="351"/>
      <c r="AL1189" s="351"/>
      <c r="AM1189" s="351"/>
      <c r="AN1189" s="351"/>
      <c r="AO1189" s="351"/>
      <c r="AP1189" s="351"/>
      <c r="AQ1189" s="351"/>
      <c r="AR1189" s="770"/>
      <c r="AS1189" s="770"/>
      <c r="AT1189" s="770"/>
      <c r="BM1189" s="335"/>
    </row>
    <row r="1190" spans="13:65" ht="20" customHeight="1">
      <c r="M1190" s="45"/>
      <c r="N1190"/>
      <c r="O1190"/>
      <c r="P1190"/>
      <c r="Q1190"/>
      <c r="R1190"/>
      <c r="AK1190" s="351"/>
      <c r="AL1190" s="351"/>
      <c r="AM1190" s="351"/>
      <c r="AN1190" s="351"/>
      <c r="AO1190" s="351"/>
      <c r="AP1190" s="351"/>
      <c r="AQ1190" s="351"/>
      <c r="AR1190" s="770"/>
      <c r="AS1190" s="770"/>
      <c r="AT1190" s="770"/>
      <c r="BM1190" s="335"/>
    </row>
    <row r="1191" spans="13:65" ht="20" customHeight="1">
      <c r="M1191" s="45"/>
      <c r="N1191"/>
      <c r="O1191"/>
      <c r="P1191"/>
      <c r="Q1191"/>
      <c r="R1191"/>
      <c r="AK1191" s="351"/>
      <c r="AL1191" s="351"/>
      <c r="AM1191" s="351"/>
      <c r="AN1191" s="351"/>
      <c r="AO1191" s="351"/>
      <c r="AP1191" s="351"/>
      <c r="AQ1191" s="351"/>
      <c r="AR1191" s="770"/>
      <c r="AS1191" s="770"/>
      <c r="AT1191" s="770"/>
      <c r="BM1191" s="335"/>
    </row>
    <row r="1192" spans="13:65" ht="20" customHeight="1">
      <c r="M1192" s="45"/>
      <c r="N1192"/>
      <c r="O1192"/>
      <c r="P1192"/>
      <c r="Q1192"/>
      <c r="R1192"/>
      <c r="AK1192" s="351"/>
      <c r="AL1192" s="351"/>
      <c r="AM1192" s="351"/>
      <c r="AN1192" s="351"/>
      <c r="AO1192" s="351"/>
      <c r="AP1192" s="351"/>
      <c r="AQ1192" s="351"/>
      <c r="AR1192" s="770"/>
      <c r="AS1192" s="770"/>
      <c r="AT1192" s="770"/>
      <c r="BM1192" s="335"/>
    </row>
    <row r="1193" spans="13:65" ht="20" customHeight="1">
      <c r="M1193" s="45"/>
      <c r="N1193"/>
      <c r="O1193"/>
      <c r="P1193"/>
      <c r="Q1193"/>
      <c r="R1193"/>
      <c r="AK1193" s="351"/>
      <c r="AL1193" s="351"/>
      <c r="AM1193" s="351"/>
      <c r="AN1193" s="351"/>
      <c r="AO1193" s="351"/>
      <c r="AP1193" s="351"/>
      <c r="AQ1193" s="351"/>
      <c r="AR1193" s="770"/>
      <c r="AS1193" s="770"/>
      <c r="AT1193" s="770"/>
      <c r="BM1193" s="335"/>
    </row>
    <row r="1194" spans="13:65" ht="20" customHeight="1">
      <c r="M1194" s="45"/>
      <c r="N1194"/>
      <c r="O1194"/>
      <c r="P1194"/>
      <c r="Q1194"/>
      <c r="R1194"/>
      <c r="AK1194" s="351"/>
      <c r="AL1194" s="351"/>
      <c r="AM1194" s="351"/>
      <c r="AN1194" s="351"/>
      <c r="AO1194" s="351"/>
      <c r="AP1194" s="351"/>
      <c r="AQ1194" s="351"/>
      <c r="AR1194" s="770"/>
      <c r="AS1194" s="770"/>
      <c r="AT1194" s="770"/>
      <c r="BM1194" s="335"/>
    </row>
    <row r="1195" spans="13:65" ht="20" customHeight="1">
      <c r="M1195" s="45"/>
      <c r="N1195"/>
      <c r="O1195"/>
      <c r="P1195"/>
      <c r="Q1195"/>
      <c r="R1195"/>
      <c r="AK1195" s="351"/>
      <c r="AL1195" s="351"/>
      <c r="AM1195" s="351"/>
      <c r="AN1195" s="351"/>
      <c r="AO1195" s="351"/>
      <c r="AP1195" s="351"/>
      <c r="AQ1195" s="351"/>
      <c r="AR1195" s="770"/>
      <c r="AS1195" s="770"/>
      <c r="AT1195" s="770"/>
      <c r="BM1195" s="335"/>
    </row>
    <row r="1196" spans="13:65" ht="20" customHeight="1">
      <c r="M1196" s="45"/>
      <c r="N1196"/>
      <c r="O1196"/>
      <c r="P1196"/>
      <c r="Q1196"/>
      <c r="R1196"/>
      <c r="AK1196" s="351"/>
      <c r="AL1196" s="351"/>
      <c r="AM1196" s="351"/>
      <c r="AN1196" s="351"/>
      <c r="AO1196" s="351"/>
      <c r="AP1196" s="351"/>
      <c r="AQ1196" s="351"/>
      <c r="AR1196" s="770"/>
      <c r="AS1196" s="770"/>
      <c r="AT1196" s="770"/>
      <c r="BM1196" s="335"/>
    </row>
    <row r="1197" spans="13:65" ht="20" customHeight="1">
      <c r="M1197" s="45"/>
      <c r="N1197"/>
      <c r="O1197"/>
      <c r="P1197"/>
      <c r="Q1197"/>
      <c r="R1197"/>
      <c r="AK1197" s="351"/>
      <c r="AL1197" s="351"/>
      <c r="AM1197" s="351"/>
      <c r="AN1197" s="351"/>
      <c r="AO1197" s="351"/>
      <c r="AP1197" s="351"/>
      <c r="AQ1197" s="351"/>
      <c r="AR1197" s="770"/>
      <c r="AS1197" s="770"/>
      <c r="AT1197" s="770"/>
      <c r="BM1197" s="335"/>
    </row>
    <row r="1198" spans="13:65" ht="20" customHeight="1">
      <c r="M1198" s="45"/>
      <c r="N1198"/>
      <c r="O1198"/>
      <c r="P1198"/>
      <c r="Q1198"/>
      <c r="R1198"/>
      <c r="AK1198" s="351"/>
      <c r="AL1198" s="351"/>
      <c r="AM1198" s="351"/>
      <c r="AN1198" s="351"/>
      <c r="AO1198" s="351"/>
      <c r="AP1198" s="351"/>
      <c r="AQ1198" s="351"/>
      <c r="AR1198" s="770"/>
      <c r="AS1198" s="770"/>
      <c r="AT1198" s="770"/>
      <c r="BM1198" s="335"/>
    </row>
    <row r="1199" spans="13:65" ht="20" customHeight="1">
      <c r="M1199" s="45"/>
      <c r="N1199"/>
      <c r="O1199"/>
      <c r="P1199"/>
      <c r="Q1199"/>
      <c r="R1199"/>
      <c r="AK1199" s="351"/>
      <c r="AL1199" s="351"/>
      <c r="AM1199" s="351"/>
      <c r="AN1199" s="351"/>
      <c r="AO1199" s="351"/>
      <c r="AP1199" s="351"/>
      <c r="AQ1199" s="351"/>
      <c r="AR1199" s="770"/>
      <c r="AS1199" s="770"/>
      <c r="AT1199" s="770"/>
      <c r="BM1199" s="335"/>
    </row>
    <row r="1200" spans="13:65" ht="20" customHeight="1">
      <c r="M1200" s="45"/>
      <c r="N1200"/>
      <c r="O1200"/>
      <c r="P1200"/>
      <c r="Q1200"/>
      <c r="R1200"/>
      <c r="AK1200" s="351"/>
      <c r="AL1200" s="351"/>
      <c r="AM1200" s="351"/>
      <c r="AN1200" s="351"/>
      <c r="AO1200" s="351"/>
      <c r="AP1200" s="351"/>
      <c r="AQ1200" s="351"/>
      <c r="AR1200" s="770"/>
      <c r="AS1200" s="770"/>
      <c r="AT1200" s="770"/>
      <c r="BM1200" s="335"/>
    </row>
    <row r="1201" spans="13:65" ht="20" customHeight="1">
      <c r="M1201" s="45"/>
      <c r="N1201"/>
      <c r="O1201"/>
      <c r="P1201"/>
      <c r="Q1201"/>
      <c r="R1201"/>
      <c r="AK1201" s="351"/>
      <c r="AL1201" s="351"/>
      <c r="AM1201" s="351"/>
      <c r="AN1201" s="351"/>
      <c r="AO1201" s="351"/>
      <c r="AP1201" s="351"/>
      <c r="AQ1201" s="351"/>
      <c r="AR1201" s="770"/>
      <c r="AS1201" s="770"/>
      <c r="AT1201" s="770"/>
      <c r="BM1201" s="335"/>
    </row>
    <row r="1202" spans="13:65" ht="20" customHeight="1">
      <c r="M1202" s="45"/>
      <c r="N1202"/>
      <c r="O1202"/>
      <c r="P1202"/>
      <c r="Q1202"/>
      <c r="R1202"/>
      <c r="AK1202" s="351"/>
      <c r="AL1202" s="351"/>
      <c r="AM1202" s="351"/>
      <c r="AN1202" s="351"/>
      <c r="AO1202" s="351"/>
      <c r="AP1202" s="351"/>
      <c r="AQ1202" s="351"/>
      <c r="AR1202" s="770"/>
      <c r="AS1202" s="770"/>
      <c r="AT1202" s="770"/>
      <c r="BM1202" s="335"/>
    </row>
    <row r="1203" spans="13:65" ht="20" customHeight="1">
      <c r="M1203" s="45"/>
      <c r="N1203"/>
      <c r="O1203"/>
      <c r="P1203"/>
      <c r="Q1203"/>
      <c r="R1203"/>
      <c r="AK1203" s="351"/>
      <c r="AL1203" s="351"/>
      <c r="AM1203" s="351"/>
      <c r="AN1203" s="351"/>
      <c r="AO1203" s="351"/>
      <c r="AP1203" s="351"/>
      <c r="AQ1203" s="351"/>
      <c r="AR1203" s="770"/>
      <c r="AS1203" s="770"/>
      <c r="AT1203" s="770"/>
      <c r="BM1203" s="335"/>
    </row>
    <row r="1204" spans="13:65" ht="20" customHeight="1">
      <c r="M1204" s="45"/>
      <c r="N1204"/>
      <c r="O1204"/>
      <c r="P1204"/>
      <c r="Q1204"/>
      <c r="R1204"/>
      <c r="AK1204" s="351"/>
      <c r="AL1204" s="351"/>
      <c r="AM1204" s="351"/>
      <c r="AN1204" s="351"/>
      <c r="AO1204" s="351"/>
      <c r="AP1204" s="351"/>
      <c r="AQ1204" s="351"/>
      <c r="AR1204" s="770"/>
      <c r="AS1204" s="770"/>
      <c r="AT1204" s="770"/>
      <c r="BM1204" s="335"/>
    </row>
    <row r="1205" spans="13:65" ht="20" customHeight="1">
      <c r="M1205" s="45"/>
      <c r="N1205"/>
      <c r="O1205"/>
      <c r="P1205"/>
      <c r="Q1205"/>
      <c r="R1205"/>
      <c r="AK1205" s="351"/>
      <c r="AL1205" s="351"/>
      <c r="AM1205" s="351"/>
      <c r="AN1205" s="351"/>
      <c r="AO1205" s="351"/>
      <c r="AP1205" s="351"/>
      <c r="AQ1205" s="351"/>
      <c r="AR1205" s="770"/>
      <c r="AS1205" s="770"/>
      <c r="AT1205" s="770"/>
      <c r="BM1205" s="335"/>
    </row>
    <row r="1206" spans="13:65" ht="20" customHeight="1">
      <c r="M1206" s="45"/>
      <c r="N1206"/>
      <c r="O1206"/>
      <c r="P1206"/>
      <c r="Q1206"/>
      <c r="R1206"/>
      <c r="AK1206" s="351"/>
      <c r="AL1206" s="351"/>
      <c r="AM1206" s="351"/>
      <c r="AN1206" s="351"/>
      <c r="AO1206" s="351"/>
      <c r="AP1206" s="351"/>
      <c r="AQ1206" s="351"/>
      <c r="AR1206" s="770"/>
      <c r="AS1206" s="770"/>
      <c r="AT1206" s="770"/>
      <c r="BM1206" s="335"/>
    </row>
    <row r="1207" spans="13:65" ht="20" customHeight="1">
      <c r="M1207" s="45"/>
      <c r="N1207"/>
      <c r="O1207"/>
      <c r="P1207"/>
      <c r="Q1207"/>
      <c r="R1207"/>
      <c r="AK1207" s="351"/>
      <c r="AL1207" s="351"/>
      <c r="AM1207" s="351"/>
      <c r="AN1207" s="351"/>
      <c r="AO1207" s="351"/>
      <c r="AP1207" s="351"/>
      <c r="AQ1207" s="351"/>
      <c r="AR1207" s="770"/>
      <c r="AS1207" s="770"/>
      <c r="AT1207" s="770"/>
      <c r="BM1207" s="335"/>
    </row>
    <row r="1208" spans="13:65" ht="20" customHeight="1">
      <c r="M1208" s="45"/>
      <c r="N1208"/>
      <c r="O1208"/>
      <c r="P1208"/>
      <c r="Q1208"/>
      <c r="R1208"/>
      <c r="AK1208" s="351"/>
      <c r="AL1208" s="351"/>
      <c r="AM1208" s="351"/>
      <c r="AN1208" s="351"/>
      <c r="AO1208" s="351"/>
      <c r="AP1208" s="351"/>
      <c r="AQ1208" s="351"/>
      <c r="AR1208" s="770"/>
      <c r="AS1208" s="770"/>
      <c r="AT1208" s="770"/>
      <c r="BM1208" s="335"/>
    </row>
    <row r="1209" spans="13:65" ht="20" customHeight="1">
      <c r="M1209" s="45"/>
      <c r="N1209"/>
      <c r="O1209"/>
      <c r="P1209"/>
      <c r="Q1209"/>
      <c r="R1209"/>
      <c r="AK1209" s="351"/>
      <c r="AL1209" s="351"/>
      <c r="AM1209" s="351"/>
      <c r="AN1209" s="351"/>
      <c r="AO1209" s="351"/>
      <c r="AP1209" s="351"/>
      <c r="AQ1209" s="351"/>
      <c r="AR1209" s="770"/>
      <c r="AS1209" s="770"/>
      <c r="AT1209" s="770"/>
      <c r="BM1209" s="335"/>
    </row>
    <row r="1210" spans="13:65" ht="20" customHeight="1">
      <c r="M1210" s="45"/>
      <c r="N1210"/>
      <c r="O1210"/>
      <c r="P1210"/>
      <c r="Q1210"/>
      <c r="R1210"/>
      <c r="AK1210" s="351"/>
      <c r="AL1210" s="351"/>
      <c r="AM1210" s="351"/>
      <c r="AN1210" s="351"/>
      <c r="AO1210" s="351"/>
      <c r="AP1210" s="351"/>
      <c r="AQ1210" s="351"/>
      <c r="AR1210" s="770"/>
      <c r="AS1210" s="770"/>
      <c r="AT1210" s="770"/>
      <c r="BM1210" s="335"/>
    </row>
    <row r="1211" spans="13:65" ht="20" customHeight="1">
      <c r="M1211" s="45"/>
      <c r="N1211"/>
      <c r="O1211"/>
      <c r="P1211"/>
      <c r="Q1211"/>
      <c r="R1211"/>
      <c r="AK1211" s="351"/>
      <c r="AL1211" s="351"/>
      <c r="AM1211" s="351"/>
      <c r="AN1211" s="351"/>
      <c r="AO1211" s="351"/>
      <c r="AP1211" s="351"/>
      <c r="AQ1211" s="351"/>
      <c r="AR1211" s="770"/>
      <c r="AS1211" s="770"/>
      <c r="AT1211" s="770"/>
      <c r="BM1211" s="335"/>
    </row>
    <row r="1212" spans="13:65" ht="20" customHeight="1">
      <c r="AK1212" s="351"/>
      <c r="AL1212" s="351"/>
      <c r="AM1212" s="351"/>
      <c r="AN1212" s="351"/>
      <c r="AO1212" s="351"/>
      <c r="AP1212" s="351"/>
      <c r="AQ1212" s="351"/>
      <c r="AR1212" s="770"/>
      <c r="AS1212" s="770"/>
      <c r="AT1212" s="770"/>
      <c r="BM1212" s="335"/>
    </row>
    <row r="1213" spans="13:65" ht="20" customHeight="1">
      <c r="AK1213" s="351"/>
      <c r="AL1213" s="351"/>
      <c r="AM1213" s="351"/>
      <c r="AN1213" s="351"/>
      <c r="AO1213" s="351"/>
      <c r="AP1213" s="351"/>
      <c r="AQ1213" s="351"/>
      <c r="AR1213" s="770"/>
      <c r="AS1213" s="770"/>
      <c r="AT1213" s="770"/>
      <c r="BM1213" s="335"/>
    </row>
    <row r="1214" spans="13:65" ht="20" customHeight="1">
      <c r="AK1214" s="351"/>
      <c r="AL1214" s="351"/>
      <c r="AM1214" s="351"/>
      <c r="AN1214" s="351"/>
      <c r="AO1214" s="351"/>
      <c r="AP1214" s="351"/>
      <c r="AQ1214" s="351"/>
      <c r="AR1214" s="770"/>
      <c r="AS1214" s="770"/>
      <c r="AT1214" s="770"/>
      <c r="BM1214" s="335"/>
    </row>
    <row r="1215" spans="13:65" ht="20" customHeight="1">
      <c r="AK1215" s="351"/>
      <c r="AL1215" s="351"/>
      <c r="AM1215" s="351"/>
      <c r="AN1215" s="351"/>
      <c r="AO1215" s="351"/>
      <c r="AP1215" s="351"/>
      <c r="AQ1215" s="351"/>
      <c r="AR1215" s="770"/>
      <c r="AS1215" s="770"/>
      <c r="AT1215" s="770"/>
      <c r="BM1215" s="335"/>
    </row>
    <row r="1216" spans="13:65" ht="20" customHeight="1">
      <c r="AK1216" s="351"/>
      <c r="AL1216" s="351"/>
      <c r="AM1216" s="351"/>
      <c r="AN1216" s="351"/>
      <c r="AO1216" s="351"/>
      <c r="AP1216" s="351"/>
      <c r="AQ1216" s="351"/>
      <c r="AR1216" s="770"/>
      <c r="AS1216" s="770"/>
      <c r="AT1216" s="770"/>
      <c r="BM1216" s="335"/>
    </row>
    <row r="1217" spans="37:65" ht="20" customHeight="1">
      <c r="AK1217" s="351"/>
      <c r="AL1217" s="351"/>
      <c r="AM1217" s="351"/>
      <c r="AN1217" s="351"/>
      <c r="AO1217" s="351"/>
      <c r="AP1217" s="351"/>
      <c r="AQ1217" s="351"/>
      <c r="AR1217" s="770"/>
      <c r="AS1217" s="770"/>
      <c r="AT1217" s="770"/>
      <c r="BM1217" s="335"/>
    </row>
    <row r="1218" spans="37:65" ht="20" customHeight="1">
      <c r="AK1218" s="351"/>
      <c r="AL1218" s="351"/>
      <c r="AM1218" s="351"/>
      <c r="AN1218" s="351"/>
      <c r="AO1218" s="351"/>
      <c r="AP1218" s="351"/>
      <c r="AQ1218" s="351"/>
      <c r="AR1218" s="770"/>
      <c r="AS1218" s="770"/>
      <c r="AT1218" s="770"/>
      <c r="BM1218" s="335"/>
    </row>
    <row r="1219" spans="37:65" ht="20" customHeight="1">
      <c r="AK1219" s="351"/>
      <c r="AL1219" s="351"/>
      <c r="AM1219" s="351"/>
      <c r="AN1219" s="351"/>
      <c r="AO1219" s="351"/>
      <c r="AP1219" s="351"/>
      <c r="AQ1219" s="351"/>
      <c r="AR1219" s="770"/>
      <c r="AS1219" s="770"/>
      <c r="AT1219" s="770"/>
      <c r="BM1219" s="335"/>
    </row>
    <row r="1220" spans="37:65" ht="20" customHeight="1">
      <c r="AK1220" s="351"/>
      <c r="AL1220" s="351"/>
      <c r="AM1220" s="351"/>
      <c r="AN1220" s="351"/>
      <c r="AO1220" s="351"/>
      <c r="AP1220" s="351"/>
      <c r="AQ1220" s="351"/>
      <c r="AR1220" s="770"/>
      <c r="AS1220" s="770"/>
      <c r="AT1220" s="770"/>
      <c r="BM1220" s="335"/>
    </row>
    <row r="1221" spans="37:65" ht="20" customHeight="1">
      <c r="AK1221" s="351"/>
      <c r="AL1221" s="351"/>
      <c r="AM1221" s="351"/>
      <c r="AN1221" s="351"/>
      <c r="AO1221" s="351"/>
      <c r="AP1221" s="351"/>
      <c r="AQ1221" s="351"/>
      <c r="AR1221" s="770"/>
      <c r="AS1221" s="770"/>
      <c r="AT1221" s="770"/>
      <c r="BM1221" s="335"/>
    </row>
    <row r="1222" spans="37:65" ht="20" customHeight="1">
      <c r="AK1222" s="351"/>
      <c r="AL1222" s="351"/>
      <c r="AM1222" s="351"/>
      <c r="AN1222" s="351"/>
      <c r="AO1222" s="351"/>
      <c r="AP1222" s="351"/>
      <c r="AQ1222" s="351"/>
      <c r="AR1222" s="770"/>
      <c r="AS1222" s="770"/>
      <c r="AT1222" s="770"/>
      <c r="BM1222" s="335"/>
    </row>
    <row r="1223" spans="37:65" ht="20" customHeight="1">
      <c r="AK1223" s="351"/>
      <c r="AL1223" s="351"/>
      <c r="AM1223" s="351"/>
      <c r="AN1223" s="351"/>
      <c r="AO1223" s="351"/>
      <c r="AP1223" s="351"/>
      <c r="AQ1223" s="351"/>
      <c r="AR1223" s="770"/>
      <c r="AS1223" s="770"/>
      <c r="AT1223" s="770"/>
      <c r="BM1223" s="335"/>
    </row>
    <row r="1224" spans="37:65" ht="20" customHeight="1">
      <c r="AK1224" s="351"/>
      <c r="AL1224" s="351"/>
      <c r="AM1224" s="351"/>
      <c r="AN1224" s="351"/>
      <c r="AO1224" s="351"/>
      <c r="AP1224" s="351"/>
      <c r="AQ1224" s="351"/>
      <c r="AR1224" s="770"/>
      <c r="AS1224" s="770"/>
      <c r="AT1224" s="770"/>
      <c r="BM1224" s="335"/>
    </row>
    <row r="1225" spans="37:65" ht="20" customHeight="1">
      <c r="AK1225" s="351"/>
      <c r="AL1225" s="351"/>
      <c r="AM1225" s="351"/>
      <c r="AN1225" s="351"/>
      <c r="AO1225" s="351"/>
      <c r="AP1225" s="351"/>
      <c r="AQ1225" s="351"/>
      <c r="AR1225" s="770"/>
      <c r="AS1225" s="770"/>
      <c r="AT1225" s="770"/>
      <c r="BM1225" s="335"/>
    </row>
    <row r="1226" spans="37:65" ht="20" customHeight="1">
      <c r="AK1226" s="351"/>
      <c r="AL1226" s="351"/>
      <c r="AM1226" s="351"/>
      <c r="AN1226" s="351"/>
      <c r="AO1226" s="351"/>
      <c r="AP1226" s="351"/>
      <c r="AQ1226" s="351"/>
      <c r="AR1226" s="770"/>
      <c r="AS1226" s="770"/>
      <c r="AT1226" s="770"/>
      <c r="BM1226" s="335"/>
    </row>
    <row r="1227" spans="37:65" ht="20" customHeight="1">
      <c r="AK1227" s="351"/>
      <c r="AL1227" s="351"/>
      <c r="AM1227" s="351"/>
      <c r="AN1227" s="351"/>
      <c r="AO1227" s="351"/>
      <c r="AP1227" s="351"/>
      <c r="AQ1227" s="351"/>
      <c r="AR1227" s="770"/>
      <c r="AS1227" s="770"/>
      <c r="AT1227" s="770"/>
      <c r="BM1227" s="335"/>
    </row>
    <row r="1228" spans="37:65" ht="20" customHeight="1">
      <c r="AK1228" s="351"/>
      <c r="AL1228" s="351"/>
      <c r="AM1228" s="351"/>
      <c r="AN1228" s="351"/>
      <c r="AO1228" s="351"/>
      <c r="AP1228" s="351"/>
      <c r="AQ1228" s="351"/>
      <c r="AR1228" s="770"/>
      <c r="AS1228" s="770"/>
      <c r="AT1228" s="770"/>
      <c r="BM1228" s="335"/>
    </row>
    <row r="1229" spans="37:65" ht="20" customHeight="1">
      <c r="AK1229" s="351"/>
      <c r="AL1229" s="351"/>
      <c r="AM1229" s="351"/>
      <c r="AN1229" s="351"/>
      <c r="AO1229" s="351"/>
      <c r="AP1229" s="351"/>
      <c r="AQ1229" s="351"/>
      <c r="AR1229" s="770"/>
      <c r="AS1229" s="770"/>
      <c r="AT1229" s="770"/>
      <c r="BM1229" s="335"/>
    </row>
    <row r="1230" spans="37:65" ht="20" customHeight="1">
      <c r="AK1230" s="351"/>
      <c r="AL1230" s="351"/>
      <c r="AM1230" s="351"/>
      <c r="AN1230" s="351"/>
      <c r="AO1230" s="351"/>
      <c r="AP1230" s="351"/>
      <c r="AQ1230" s="351"/>
      <c r="AR1230" s="770"/>
      <c r="AS1230" s="770"/>
      <c r="AT1230" s="770"/>
      <c r="BM1230" s="335"/>
    </row>
    <row r="1231" spans="37:65" ht="20" customHeight="1">
      <c r="AK1231" s="351"/>
      <c r="AL1231" s="351"/>
      <c r="AM1231" s="351"/>
      <c r="AN1231" s="351"/>
      <c r="AO1231" s="351"/>
      <c r="AP1231" s="351"/>
      <c r="AQ1231" s="351"/>
      <c r="AR1231" s="770"/>
      <c r="AS1231" s="770"/>
      <c r="AT1231" s="770"/>
      <c r="BM1231" s="335"/>
    </row>
    <row r="1232" spans="37:65" ht="20" customHeight="1">
      <c r="AK1232" s="351"/>
      <c r="AL1232" s="351"/>
      <c r="AM1232" s="351"/>
      <c r="AN1232" s="351"/>
      <c r="AO1232" s="351"/>
      <c r="AP1232" s="351"/>
      <c r="AQ1232" s="351"/>
      <c r="AR1232" s="770"/>
      <c r="AS1232" s="770"/>
      <c r="AT1232" s="770"/>
      <c r="BM1232" s="335"/>
    </row>
    <row r="1233" spans="37:65" ht="20" customHeight="1">
      <c r="AK1233" s="351"/>
      <c r="AL1233" s="351"/>
      <c r="AM1233" s="351"/>
      <c r="AN1233" s="351"/>
      <c r="AO1233" s="351"/>
      <c r="AP1233" s="351"/>
      <c r="AQ1233" s="351"/>
      <c r="AR1233" s="770"/>
      <c r="AS1233" s="770"/>
      <c r="AT1233" s="770"/>
      <c r="BM1233" s="335"/>
    </row>
    <row r="1234" spans="37:65" ht="20" customHeight="1">
      <c r="AK1234" s="351"/>
      <c r="AL1234" s="351"/>
      <c r="AM1234" s="351"/>
      <c r="AN1234" s="351"/>
      <c r="AO1234" s="351"/>
      <c r="AP1234" s="351"/>
      <c r="AQ1234" s="351"/>
      <c r="AR1234" s="770"/>
      <c r="AS1234" s="770"/>
      <c r="AT1234" s="770"/>
      <c r="BM1234" s="335"/>
    </row>
    <row r="1235" spans="37:65" ht="20" customHeight="1">
      <c r="AK1235" s="351"/>
      <c r="AL1235" s="351"/>
      <c r="AM1235" s="351"/>
      <c r="AN1235" s="351"/>
      <c r="AO1235" s="351"/>
      <c r="AP1235" s="351"/>
      <c r="AQ1235" s="351"/>
      <c r="AR1235" s="770"/>
      <c r="AS1235" s="770"/>
      <c r="AT1235" s="770"/>
      <c r="BM1235" s="335"/>
    </row>
    <row r="1236" spans="37:65" ht="20" customHeight="1">
      <c r="AK1236" s="351"/>
      <c r="AL1236" s="351"/>
      <c r="AM1236" s="351"/>
      <c r="AN1236" s="351"/>
      <c r="AO1236" s="351"/>
      <c r="AP1236" s="351"/>
      <c r="AQ1236" s="351"/>
      <c r="AR1236" s="770"/>
      <c r="AS1236" s="770"/>
      <c r="AT1236" s="770"/>
      <c r="BM1236" s="335"/>
    </row>
    <row r="1237" spans="37:65" ht="20" customHeight="1">
      <c r="AK1237" s="351"/>
      <c r="AL1237" s="351"/>
      <c r="AM1237" s="351"/>
      <c r="AN1237" s="351"/>
      <c r="AO1237" s="351"/>
      <c r="AP1237" s="351"/>
      <c r="AQ1237" s="351"/>
      <c r="AR1237" s="770"/>
      <c r="AS1237" s="770"/>
      <c r="AT1237" s="770"/>
      <c r="BM1237" s="335"/>
    </row>
    <row r="1238" spans="37:65" ht="20" customHeight="1">
      <c r="AK1238" s="351"/>
      <c r="AL1238" s="351"/>
      <c r="AM1238" s="351"/>
      <c r="AN1238" s="351"/>
      <c r="AO1238" s="351"/>
      <c r="AP1238" s="351"/>
      <c r="AQ1238" s="351"/>
      <c r="AR1238" s="770"/>
      <c r="AS1238" s="770"/>
      <c r="AT1238" s="770"/>
      <c r="BM1238" s="335"/>
    </row>
    <row r="1239" spans="37:65" ht="20" customHeight="1">
      <c r="AK1239" s="351"/>
      <c r="AL1239" s="351"/>
      <c r="AM1239" s="351"/>
      <c r="AN1239" s="351"/>
      <c r="AO1239" s="351"/>
      <c r="AP1239" s="351"/>
      <c r="AQ1239" s="351"/>
      <c r="AR1239" s="770"/>
      <c r="AS1239" s="770"/>
      <c r="AT1239" s="770"/>
      <c r="BM1239" s="335"/>
    </row>
    <row r="1240" spans="37:65" ht="20" customHeight="1">
      <c r="AK1240" s="351"/>
      <c r="AL1240" s="351"/>
      <c r="AM1240" s="351"/>
      <c r="AN1240" s="351"/>
      <c r="AO1240" s="351"/>
      <c r="AP1240" s="351"/>
      <c r="AQ1240" s="351"/>
      <c r="AR1240" s="770"/>
      <c r="AS1240" s="770"/>
      <c r="AT1240" s="770"/>
      <c r="BM1240" s="335"/>
    </row>
    <row r="1241" spans="37:65" ht="20" customHeight="1">
      <c r="AK1241" s="351"/>
      <c r="AL1241" s="351"/>
      <c r="AM1241" s="351"/>
      <c r="AN1241" s="351"/>
      <c r="AO1241" s="351"/>
      <c r="AP1241" s="351"/>
      <c r="AQ1241" s="351"/>
      <c r="AR1241" s="770"/>
      <c r="AS1241" s="770"/>
      <c r="AT1241" s="770"/>
      <c r="BM1241" s="335"/>
    </row>
    <row r="1242" spans="37:65" ht="20" customHeight="1">
      <c r="AK1242" s="351"/>
      <c r="AL1242" s="351"/>
      <c r="AM1242" s="351"/>
      <c r="AN1242" s="351"/>
      <c r="AO1242" s="351"/>
      <c r="AP1242" s="351"/>
      <c r="AQ1242" s="351"/>
      <c r="AR1242" s="770"/>
      <c r="AS1242" s="770"/>
      <c r="AT1242" s="770"/>
      <c r="BM1242" s="335"/>
    </row>
    <row r="1243" spans="37:65" ht="20" customHeight="1">
      <c r="AK1243" s="351"/>
      <c r="AL1243" s="351"/>
      <c r="AM1243" s="351"/>
      <c r="AN1243" s="351"/>
      <c r="AO1243" s="351"/>
      <c r="AP1243" s="351"/>
      <c r="AQ1243" s="351"/>
      <c r="AR1243" s="770"/>
      <c r="AS1243" s="770"/>
      <c r="AT1243" s="770"/>
      <c r="BM1243" s="335"/>
    </row>
    <row r="1244" spans="37:65" ht="20" customHeight="1">
      <c r="AK1244" s="351"/>
      <c r="AL1244" s="351"/>
      <c r="AM1244" s="351"/>
      <c r="AN1244" s="351"/>
      <c r="AO1244" s="351"/>
      <c r="AP1244" s="351"/>
      <c r="AQ1244" s="351"/>
      <c r="AR1244" s="770"/>
      <c r="AS1244" s="770"/>
      <c r="AT1244" s="770"/>
      <c r="BM1244" s="335"/>
    </row>
    <row r="1245" spans="37:65" ht="20" customHeight="1">
      <c r="AK1245" s="351"/>
      <c r="AL1245" s="351"/>
      <c r="AM1245" s="351"/>
      <c r="AN1245" s="351"/>
      <c r="AO1245" s="351"/>
      <c r="AP1245" s="351"/>
      <c r="AQ1245" s="351"/>
      <c r="AR1245" s="770"/>
      <c r="AS1245" s="770"/>
      <c r="AT1245" s="770"/>
      <c r="BM1245" s="335"/>
    </row>
    <row r="1246" spans="37:65" ht="20" customHeight="1">
      <c r="AK1246" s="351"/>
      <c r="AL1246" s="351"/>
      <c r="AM1246" s="351"/>
      <c r="AN1246" s="351"/>
      <c r="AO1246" s="351"/>
      <c r="AP1246" s="351"/>
      <c r="AQ1246" s="351"/>
      <c r="AR1246" s="770"/>
      <c r="AS1246" s="770"/>
      <c r="AT1246" s="770"/>
      <c r="BM1246" s="335"/>
    </row>
    <row r="1247" spans="37:65" ht="20" customHeight="1">
      <c r="AK1247" s="351"/>
      <c r="AL1247" s="351"/>
      <c r="AM1247" s="351"/>
      <c r="AN1247" s="351"/>
      <c r="AO1247" s="351"/>
      <c r="AP1247" s="351"/>
      <c r="AQ1247" s="351"/>
      <c r="AR1247" s="770"/>
      <c r="AS1247" s="770"/>
      <c r="AT1247" s="770"/>
      <c r="BM1247" s="335"/>
    </row>
    <row r="1248" spans="37:65" ht="20" customHeight="1">
      <c r="AK1248" s="351"/>
      <c r="AL1248" s="351"/>
      <c r="AM1248" s="351"/>
      <c r="AN1248" s="351"/>
      <c r="AO1248" s="351"/>
      <c r="AP1248" s="351"/>
      <c r="AQ1248" s="351"/>
      <c r="AR1248" s="770"/>
      <c r="AS1248" s="770"/>
      <c r="AT1248" s="770"/>
      <c r="BM1248" s="335"/>
    </row>
    <row r="1249" spans="37:65" ht="20" customHeight="1">
      <c r="AK1249" s="351"/>
      <c r="AL1249" s="351"/>
      <c r="AM1249" s="351"/>
      <c r="AN1249" s="351"/>
      <c r="AO1249" s="351"/>
      <c r="AP1249" s="351"/>
      <c r="AQ1249" s="351"/>
      <c r="AR1249" s="770"/>
      <c r="AS1249" s="770"/>
      <c r="AT1249" s="770"/>
      <c r="BM1249" s="335"/>
    </row>
    <row r="1250" spans="37:65" ht="20" customHeight="1">
      <c r="AK1250" s="351"/>
      <c r="AL1250" s="351"/>
      <c r="AM1250" s="351"/>
      <c r="AN1250" s="351"/>
      <c r="AO1250" s="351"/>
      <c r="AP1250" s="351"/>
      <c r="AQ1250" s="351"/>
      <c r="AR1250" s="770"/>
      <c r="AS1250" s="770"/>
      <c r="AT1250" s="770"/>
      <c r="BM1250" s="335"/>
    </row>
    <row r="1251" spans="37:65" ht="20" customHeight="1">
      <c r="AK1251" s="351"/>
      <c r="AL1251" s="351"/>
      <c r="AM1251" s="351"/>
      <c r="AN1251" s="351"/>
      <c r="AO1251" s="351"/>
      <c r="AP1251" s="351"/>
      <c r="AQ1251" s="351"/>
      <c r="AR1251" s="770"/>
      <c r="AS1251" s="770"/>
      <c r="AT1251" s="770"/>
      <c r="BM1251" s="335"/>
    </row>
    <row r="1252" spans="37:65" ht="20" customHeight="1">
      <c r="AK1252" s="351"/>
      <c r="AL1252" s="351"/>
      <c r="AM1252" s="351"/>
      <c r="AN1252" s="351"/>
      <c r="AO1252" s="351"/>
      <c r="AP1252" s="351"/>
      <c r="AQ1252" s="351"/>
      <c r="AR1252" s="770"/>
      <c r="AS1252" s="770"/>
      <c r="AT1252" s="770"/>
      <c r="BM1252" s="335"/>
    </row>
    <row r="1253" spans="37:65" ht="20" customHeight="1">
      <c r="AK1253" s="351"/>
      <c r="AL1253" s="351"/>
      <c r="AM1253" s="351"/>
      <c r="AN1253" s="351"/>
      <c r="AO1253" s="351"/>
      <c r="AP1253" s="351"/>
      <c r="AQ1253" s="351"/>
      <c r="AR1253" s="770"/>
      <c r="AS1253" s="770"/>
      <c r="AT1253" s="770"/>
      <c r="BM1253" s="335"/>
    </row>
    <row r="1254" spans="37:65" ht="20" customHeight="1">
      <c r="AK1254" s="351"/>
      <c r="AL1254" s="351"/>
      <c r="AM1254" s="351"/>
      <c r="AN1254" s="351"/>
      <c r="AO1254" s="351"/>
      <c r="AP1254" s="351"/>
      <c r="AQ1254" s="351"/>
      <c r="AR1254" s="770"/>
      <c r="AS1254" s="770"/>
      <c r="AT1254" s="770"/>
      <c r="BM1254" s="335"/>
    </row>
    <row r="1255" spans="37:65" ht="20" customHeight="1">
      <c r="AK1255" s="351"/>
      <c r="AL1255" s="351"/>
      <c r="AM1255" s="351"/>
      <c r="AN1255" s="351"/>
      <c r="AO1255" s="351"/>
      <c r="AP1255" s="351"/>
      <c r="AQ1255" s="351"/>
      <c r="AR1255" s="770"/>
      <c r="AS1255" s="770"/>
      <c r="AT1255" s="770"/>
      <c r="BM1255" s="335"/>
    </row>
    <row r="1256" spans="37:65" ht="20" customHeight="1">
      <c r="AK1256" s="351"/>
      <c r="AL1256" s="351"/>
      <c r="AM1256" s="351"/>
      <c r="AN1256" s="351"/>
      <c r="AO1256" s="351"/>
      <c r="AP1256" s="351"/>
      <c r="AQ1256" s="351"/>
      <c r="AR1256" s="770"/>
      <c r="AS1256" s="770"/>
      <c r="AT1256" s="770"/>
      <c r="BM1256" s="335"/>
    </row>
    <row r="1257" spans="37:65" ht="20" customHeight="1">
      <c r="AK1257" s="351"/>
      <c r="AL1257" s="351"/>
      <c r="AM1257" s="351"/>
      <c r="AN1257" s="351"/>
      <c r="AO1257" s="351"/>
      <c r="AP1257" s="351"/>
      <c r="AQ1257" s="351"/>
      <c r="AR1257" s="770"/>
      <c r="AS1257" s="770"/>
      <c r="AT1257" s="770"/>
      <c r="BM1257" s="335"/>
    </row>
    <row r="1258" spans="37:65" ht="20" customHeight="1">
      <c r="AK1258" s="351"/>
      <c r="AL1258" s="351"/>
      <c r="AM1258" s="351"/>
      <c r="AN1258" s="351"/>
      <c r="AO1258" s="351"/>
      <c r="AP1258" s="351"/>
      <c r="AQ1258" s="351"/>
      <c r="AR1258" s="770"/>
      <c r="AS1258" s="770"/>
      <c r="AT1258" s="770"/>
      <c r="BM1258" s="335"/>
    </row>
    <row r="1259" spans="37:65" ht="20" customHeight="1">
      <c r="AK1259" s="351"/>
      <c r="AL1259" s="351"/>
      <c r="AM1259" s="351"/>
      <c r="AN1259" s="351"/>
      <c r="AO1259" s="351"/>
      <c r="AP1259" s="351"/>
      <c r="AQ1259" s="351"/>
      <c r="AR1259" s="770"/>
      <c r="AS1259" s="770"/>
      <c r="AT1259" s="770"/>
      <c r="BM1259" s="335"/>
    </row>
    <row r="1260" spans="37:65" ht="20" customHeight="1">
      <c r="AK1260" s="351"/>
      <c r="AL1260" s="351"/>
      <c r="AM1260" s="351"/>
      <c r="AN1260" s="351"/>
      <c r="AO1260" s="351"/>
      <c r="AP1260" s="351"/>
      <c r="AQ1260" s="351"/>
      <c r="AR1260" s="770"/>
      <c r="AS1260" s="770"/>
      <c r="AT1260" s="770"/>
      <c r="BM1260" s="335"/>
    </row>
    <row r="1261" spans="37:65" ht="20" customHeight="1">
      <c r="AK1261" s="351"/>
      <c r="AL1261" s="351"/>
      <c r="AM1261" s="351"/>
      <c r="AN1261" s="351"/>
      <c r="AO1261" s="351"/>
      <c r="AP1261" s="351"/>
      <c r="AQ1261" s="351"/>
      <c r="AR1261" s="770"/>
      <c r="AS1261" s="770"/>
      <c r="AT1261" s="770"/>
      <c r="BM1261" s="335"/>
    </row>
    <row r="1262" spans="37:65" ht="20" customHeight="1">
      <c r="AK1262" s="351"/>
      <c r="AL1262" s="351"/>
      <c r="AM1262" s="351"/>
      <c r="AN1262" s="351"/>
      <c r="AO1262" s="351"/>
      <c r="AP1262" s="351"/>
      <c r="AQ1262" s="351"/>
      <c r="AR1262" s="770"/>
      <c r="AS1262" s="770"/>
      <c r="AT1262" s="770"/>
      <c r="BM1262" s="335"/>
    </row>
    <row r="1263" spans="37:65" ht="20" customHeight="1">
      <c r="AK1263" s="351"/>
      <c r="AL1263" s="351"/>
      <c r="AM1263" s="351"/>
      <c r="AN1263" s="351"/>
      <c r="AO1263" s="351"/>
      <c r="AP1263" s="351"/>
      <c r="AQ1263" s="351"/>
      <c r="AR1263" s="770"/>
      <c r="AS1263" s="770"/>
      <c r="AT1263" s="770"/>
      <c r="BM1263" s="335"/>
    </row>
    <row r="1264" spans="37:65" ht="20" customHeight="1">
      <c r="AK1264" s="351"/>
      <c r="AL1264" s="351"/>
      <c r="AM1264" s="351"/>
      <c r="AN1264" s="351"/>
      <c r="AO1264" s="351"/>
      <c r="AP1264" s="351"/>
      <c r="AQ1264" s="351"/>
      <c r="AR1264" s="770"/>
      <c r="AS1264" s="770"/>
      <c r="AT1264" s="770"/>
      <c r="BM1264" s="335"/>
    </row>
    <row r="1265" spans="37:65" ht="20" customHeight="1">
      <c r="AK1265" s="351"/>
      <c r="AL1265" s="351"/>
      <c r="AM1265" s="351"/>
      <c r="AN1265" s="351"/>
      <c r="AO1265" s="351"/>
      <c r="AP1265" s="351"/>
      <c r="AQ1265" s="351"/>
      <c r="AR1265" s="770"/>
      <c r="AS1265" s="770"/>
      <c r="AT1265" s="770"/>
      <c r="BM1265" s="335"/>
    </row>
    <row r="1266" spans="37:65" ht="20" customHeight="1">
      <c r="AK1266" s="351"/>
      <c r="AL1266" s="351"/>
      <c r="AM1266" s="351"/>
      <c r="AN1266" s="351"/>
      <c r="AO1266" s="351"/>
      <c r="AP1266" s="351"/>
      <c r="AQ1266" s="351"/>
      <c r="AR1266" s="770"/>
      <c r="AS1266" s="770"/>
      <c r="AT1266" s="770"/>
      <c r="BM1266" s="335"/>
    </row>
    <row r="1267" spans="37:65" ht="20" customHeight="1">
      <c r="AK1267" s="351"/>
      <c r="AL1267" s="351"/>
      <c r="AM1267" s="351"/>
      <c r="AN1267" s="351"/>
      <c r="AO1267" s="351"/>
      <c r="AP1267" s="351"/>
      <c r="AQ1267" s="351"/>
      <c r="AR1267" s="770"/>
      <c r="AS1267" s="770"/>
      <c r="AT1267" s="770"/>
      <c r="BM1267" s="335"/>
    </row>
    <row r="1268" spans="37:65" ht="20" customHeight="1">
      <c r="AK1268" s="351"/>
      <c r="AL1268" s="351"/>
      <c r="AM1268" s="351"/>
      <c r="AN1268" s="351"/>
      <c r="AO1268" s="351"/>
      <c r="AP1268" s="351"/>
      <c r="AQ1268" s="351"/>
      <c r="AR1268" s="770"/>
      <c r="AS1268" s="770"/>
      <c r="AT1268" s="770"/>
      <c r="BM1268" s="335"/>
    </row>
    <row r="1269" spans="37:65" ht="20" customHeight="1">
      <c r="AK1269" s="351"/>
      <c r="AL1269" s="351"/>
      <c r="AM1269" s="351"/>
      <c r="AN1269" s="351"/>
      <c r="AO1269" s="351"/>
      <c r="AP1269" s="351"/>
      <c r="AQ1269" s="351"/>
      <c r="AR1269" s="770"/>
      <c r="AS1269" s="770"/>
      <c r="AT1269" s="770"/>
      <c r="BM1269" s="335"/>
    </row>
    <row r="1270" spans="37:65" ht="20" customHeight="1">
      <c r="AK1270" s="351"/>
      <c r="AL1270" s="351"/>
      <c r="AM1270" s="351"/>
      <c r="AN1270" s="351"/>
      <c r="AO1270" s="351"/>
      <c r="AP1270" s="351"/>
      <c r="AQ1270" s="351"/>
      <c r="AR1270" s="770"/>
      <c r="AS1270" s="770"/>
      <c r="AT1270" s="770"/>
      <c r="BM1270" s="335"/>
    </row>
    <row r="1271" spans="37:65" ht="20" customHeight="1">
      <c r="AK1271" s="351"/>
      <c r="AL1271" s="351"/>
      <c r="AM1271" s="351"/>
      <c r="AN1271" s="351"/>
      <c r="AO1271" s="351"/>
      <c r="AP1271" s="351"/>
      <c r="AQ1271" s="351"/>
      <c r="AR1271" s="770"/>
      <c r="AS1271" s="770"/>
      <c r="AT1271" s="770"/>
      <c r="BM1271" s="335"/>
    </row>
    <row r="1272" spans="37:65" ht="20" customHeight="1">
      <c r="AK1272" s="351"/>
      <c r="AL1272" s="351"/>
      <c r="AM1272" s="351"/>
      <c r="AN1272" s="351"/>
      <c r="AO1272" s="351"/>
      <c r="AP1272" s="351"/>
      <c r="AQ1272" s="351"/>
      <c r="AR1272" s="770"/>
      <c r="AS1272" s="770"/>
      <c r="AT1272" s="770"/>
      <c r="BM1272" s="335"/>
    </row>
    <row r="1273" spans="37:65" ht="20" customHeight="1">
      <c r="AK1273" s="351"/>
      <c r="AL1273" s="351"/>
      <c r="AM1273" s="351"/>
      <c r="AN1273" s="351"/>
      <c r="AO1273" s="351"/>
      <c r="AP1273" s="351"/>
      <c r="AQ1273" s="351"/>
      <c r="AR1273" s="770"/>
      <c r="AS1273" s="770"/>
      <c r="AT1273" s="770"/>
      <c r="BM1273" s="335"/>
    </row>
    <row r="1274" spans="37:65" ht="20" customHeight="1">
      <c r="AK1274" s="351"/>
      <c r="AL1274" s="351"/>
      <c r="AM1274" s="351"/>
      <c r="AN1274" s="351"/>
      <c r="AO1274" s="351"/>
      <c r="AP1274" s="351"/>
      <c r="AQ1274" s="351"/>
      <c r="AR1274" s="770"/>
      <c r="AS1274" s="770"/>
      <c r="AT1274" s="770"/>
      <c r="BM1274" s="335"/>
    </row>
    <row r="1275" spans="37:65" ht="20" customHeight="1">
      <c r="AK1275" s="351"/>
      <c r="AL1275" s="351"/>
      <c r="AM1275" s="351"/>
      <c r="AN1275" s="351"/>
      <c r="AO1275" s="351"/>
      <c r="AP1275" s="351"/>
      <c r="AQ1275" s="351"/>
      <c r="AR1275" s="770"/>
      <c r="AS1275" s="770"/>
      <c r="AT1275" s="770"/>
      <c r="BM1275" s="335"/>
    </row>
    <row r="1276" spans="37:65" ht="20" customHeight="1">
      <c r="AK1276" s="351"/>
      <c r="AL1276" s="351"/>
      <c r="AM1276" s="351"/>
      <c r="AN1276" s="351"/>
      <c r="AO1276" s="351"/>
      <c r="AP1276" s="351"/>
      <c r="AQ1276" s="351"/>
      <c r="AR1276" s="770"/>
      <c r="AS1276" s="770"/>
      <c r="AT1276" s="770"/>
      <c r="BM1276" s="335"/>
    </row>
    <row r="1277" spans="37:65" ht="20" customHeight="1">
      <c r="AK1277" s="351"/>
      <c r="AL1277" s="351"/>
      <c r="AM1277" s="351"/>
      <c r="AN1277" s="351"/>
      <c r="AO1277" s="351"/>
      <c r="AP1277" s="351"/>
      <c r="AQ1277" s="351"/>
      <c r="AR1277" s="770"/>
      <c r="AS1277" s="770"/>
      <c r="AT1277" s="770"/>
      <c r="BM1277" s="335"/>
    </row>
    <row r="1278" spans="37:65" ht="20" customHeight="1">
      <c r="AK1278" s="351"/>
      <c r="AL1278" s="351"/>
      <c r="AM1278" s="351"/>
      <c r="AN1278" s="351"/>
      <c r="AO1278" s="351"/>
      <c r="AP1278" s="351"/>
      <c r="AQ1278" s="351"/>
      <c r="AR1278" s="770"/>
      <c r="AS1278" s="770"/>
      <c r="AT1278" s="770"/>
      <c r="BM1278" s="335"/>
    </row>
    <row r="1279" spans="37:65" ht="20" customHeight="1">
      <c r="AK1279" s="351"/>
      <c r="AL1279" s="351"/>
      <c r="AM1279" s="351"/>
      <c r="AN1279" s="351"/>
      <c r="AO1279" s="351"/>
      <c r="AP1279" s="351"/>
      <c r="AQ1279" s="351"/>
      <c r="AR1279" s="770"/>
      <c r="AS1279" s="770"/>
      <c r="AT1279" s="770"/>
      <c r="BM1279" s="335"/>
    </row>
    <row r="1280" spans="37:65" ht="20" customHeight="1">
      <c r="AK1280" s="351"/>
      <c r="AL1280" s="351"/>
      <c r="AM1280" s="351"/>
      <c r="AN1280" s="351"/>
      <c r="AO1280" s="351"/>
      <c r="AP1280" s="351"/>
      <c r="AQ1280" s="351"/>
      <c r="AR1280" s="770"/>
      <c r="AS1280" s="770"/>
      <c r="AT1280" s="770"/>
      <c r="BM1280" s="335"/>
    </row>
    <row r="1281" spans="37:65" ht="20" customHeight="1">
      <c r="AK1281" s="351"/>
      <c r="AL1281" s="351"/>
      <c r="AM1281" s="351"/>
      <c r="AN1281" s="351"/>
      <c r="AO1281" s="351"/>
      <c r="AP1281" s="351"/>
      <c r="AQ1281" s="351"/>
      <c r="AR1281" s="770"/>
      <c r="AS1281" s="770"/>
      <c r="AT1281" s="770"/>
      <c r="BM1281" s="335"/>
    </row>
    <row r="1282" spans="37:65" ht="20" customHeight="1">
      <c r="AK1282" s="351"/>
      <c r="AL1282" s="351"/>
      <c r="AM1282" s="351"/>
      <c r="AN1282" s="351"/>
      <c r="AO1282" s="351"/>
      <c r="AP1282" s="351"/>
      <c r="AQ1282" s="351"/>
      <c r="AR1282" s="770"/>
      <c r="AS1282" s="770"/>
      <c r="AT1282" s="770"/>
      <c r="BM1282" s="335"/>
    </row>
    <row r="1283" spans="37:65" ht="20" customHeight="1">
      <c r="AK1283" s="351"/>
      <c r="AL1283" s="351"/>
      <c r="AM1283" s="351"/>
      <c r="AN1283" s="351"/>
      <c r="AO1283" s="351"/>
      <c r="AP1283" s="351"/>
      <c r="AQ1283" s="351"/>
      <c r="AR1283" s="770"/>
      <c r="AS1283" s="770"/>
      <c r="AT1283" s="770"/>
      <c r="BM1283" s="335"/>
    </row>
    <row r="1284" spans="37:65" ht="20" customHeight="1">
      <c r="AK1284" s="351"/>
      <c r="AL1284" s="351"/>
      <c r="AM1284" s="351"/>
      <c r="AN1284" s="351"/>
      <c r="AO1284" s="351"/>
      <c r="AP1284" s="351"/>
      <c r="AQ1284" s="351"/>
      <c r="AR1284" s="770"/>
      <c r="AS1284" s="770"/>
      <c r="AT1284" s="770"/>
      <c r="BM1284" s="335"/>
    </row>
    <row r="1285" spans="37:65" ht="20" customHeight="1">
      <c r="AK1285" s="351"/>
      <c r="AL1285" s="351"/>
      <c r="AM1285" s="351"/>
      <c r="AN1285" s="351"/>
      <c r="AO1285" s="351"/>
      <c r="AP1285" s="351"/>
      <c r="AQ1285" s="351"/>
      <c r="AR1285" s="770"/>
      <c r="AS1285" s="770"/>
      <c r="AT1285" s="770"/>
      <c r="BM1285" s="335"/>
    </row>
    <row r="1286" spans="37:65" ht="20" customHeight="1">
      <c r="AK1286" s="351"/>
      <c r="AL1286" s="351"/>
      <c r="AM1286" s="351"/>
      <c r="AN1286" s="351"/>
      <c r="AO1286" s="351"/>
      <c r="AP1286" s="351"/>
      <c r="AQ1286" s="351"/>
      <c r="AR1286" s="770"/>
      <c r="AS1286" s="770"/>
      <c r="AT1286" s="770"/>
      <c r="BM1286" s="335"/>
    </row>
    <row r="1287" spans="37:65" ht="20" customHeight="1">
      <c r="AK1287" s="351"/>
      <c r="AL1287" s="351"/>
      <c r="AM1287" s="351"/>
      <c r="AN1287" s="351"/>
      <c r="AO1287" s="351"/>
      <c r="AP1287" s="351"/>
      <c r="AQ1287" s="351"/>
      <c r="AR1287" s="770"/>
      <c r="AS1287" s="770"/>
      <c r="AT1287" s="770"/>
      <c r="BM1287" s="335"/>
    </row>
    <row r="1288" spans="37:65" ht="20" customHeight="1">
      <c r="AK1288" s="351"/>
      <c r="AL1288" s="351"/>
      <c r="AM1288" s="351"/>
      <c r="AN1288" s="351"/>
      <c r="AO1288" s="351"/>
      <c r="AP1288" s="351"/>
      <c r="AQ1288" s="351"/>
      <c r="AR1288" s="770"/>
      <c r="AS1288" s="770"/>
      <c r="AT1288" s="770"/>
      <c r="BM1288" s="335"/>
    </row>
    <row r="1289" spans="37:65" ht="20" customHeight="1">
      <c r="AK1289" s="351"/>
      <c r="AL1289" s="351"/>
      <c r="AM1289" s="351"/>
      <c r="AN1289" s="351"/>
      <c r="AO1289" s="351"/>
      <c r="AP1289" s="351"/>
      <c r="AQ1289" s="351"/>
      <c r="AR1289" s="770"/>
      <c r="AS1289" s="770"/>
      <c r="AT1289" s="770"/>
      <c r="BM1289" s="335"/>
    </row>
    <row r="1290" spans="37:65" ht="20" customHeight="1">
      <c r="AK1290" s="351"/>
      <c r="AL1290" s="351"/>
      <c r="AM1290" s="351"/>
      <c r="AN1290" s="351"/>
      <c r="AO1290" s="351"/>
      <c r="AP1290" s="351"/>
      <c r="AQ1290" s="351"/>
      <c r="AR1290" s="770"/>
      <c r="AS1290" s="770"/>
      <c r="AT1290" s="770"/>
      <c r="BM1290" s="335"/>
    </row>
    <row r="1291" spans="37:65" ht="20" customHeight="1">
      <c r="AK1291" s="351"/>
      <c r="AL1291" s="351"/>
      <c r="AM1291" s="351"/>
      <c r="AN1291" s="351"/>
      <c r="AO1291" s="351"/>
      <c r="AP1291" s="351"/>
      <c r="AQ1291" s="351"/>
      <c r="AR1291" s="770"/>
      <c r="AS1291" s="770"/>
      <c r="AT1291" s="770"/>
      <c r="BM1291" s="335"/>
    </row>
    <row r="1292" spans="37:65" ht="20" customHeight="1">
      <c r="AK1292" s="351"/>
      <c r="AL1292" s="351"/>
      <c r="AM1292" s="351"/>
      <c r="AN1292" s="351"/>
      <c r="AO1292" s="351"/>
      <c r="AP1292" s="351"/>
      <c r="AQ1292" s="351"/>
      <c r="AR1292" s="770"/>
      <c r="AS1292" s="770"/>
      <c r="AT1292" s="770"/>
      <c r="BM1292" s="335"/>
    </row>
    <row r="1293" spans="37:65" ht="20" customHeight="1">
      <c r="AK1293" s="351"/>
      <c r="AL1293" s="351"/>
      <c r="AM1293" s="351"/>
      <c r="AN1293" s="351"/>
      <c r="AO1293" s="351"/>
      <c r="AP1293" s="351"/>
      <c r="AQ1293" s="351"/>
      <c r="AR1293" s="770"/>
      <c r="AS1293" s="770"/>
      <c r="AT1293" s="770"/>
      <c r="BM1293" s="335"/>
    </row>
    <row r="1294" spans="37:65" ht="20" customHeight="1">
      <c r="AK1294" s="351"/>
      <c r="AL1294" s="351"/>
      <c r="AM1294" s="351"/>
      <c r="AN1294" s="351"/>
      <c r="AO1294" s="351"/>
      <c r="AP1294" s="351"/>
      <c r="AQ1294" s="351"/>
      <c r="AR1294" s="770"/>
      <c r="AS1294" s="770"/>
      <c r="AT1294" s="770"/>
      <c r="BM1294" s="335"/>
    </row>
    <row r="1295" spans="37:65" ht="20" customHeight="1">
      <c r="AK1295" s="351"/>
      <c r="AL1295" s="351"/>
      <c r="AM1295" s="351"/>
      <c r="AN1295" s="351"/>
      <c r="AO1295" s="351"/>
      <c r="AP1295" s="351"/>
      <c r="AQ1295" s="351"/>
      <c r="AR1295" s="770"/>
      <c r="AS1295" s="770"/>
      <c r="AT1295" s="770"/>
      <c r="BM1295" s="335"/>
    </row>
    <row r="1296" spans="37:65" ht="20" customHeight="1">
      <c r="AK1296" s="351"/>
      <c r="AL1296" s="351"/>
      <c r="AM1296" s="351"/>
      <c r="AN1296" s="351"/>
      <c r="AO1296" s="351"/>
      <c r="AP1296" s="351"/>
      <c r="AQ1296" s="351"/>
      <c r="AR1296" s="770"/>
      <c r="AS1296" s="770"/>
      <c r="AT1296" s="770"/>
      <c r="BM1296" s="335"/>
    </row>
    <row r="1297" spans="37:65" ht="20" customHeight="1">
      <c r="AK1297" s="351"/>
      <c r="AL1297" s="351"/>
      <c r="AM1297" s="351"/>
      <c r="AN1297" s="351"/>
      <c r="AO1297" s="351"/>
      <c r="AP1297" s="351"/>
      <c r="AQ1297" s="351"/>
      <c r="AR1297" s="770"/>
      <c r="AS1297" s="770"/>
      <c r="AT1297" s="770"/>
      <c r="BM1297" s="335"/>
    </row>
    <row r="1298" spans="37:65" ht="20" customHeight="1">
      <c r="AK1298" s="351"/>
      <c r="AL1298" s="351"/>
      <c r="AM1298" s="351"/>
      <c r="AN1298" s="351"/>
      <c r="AO1298" s="351"/>
      <c r="AP1298" s="351"/>
      <c r="AQ1298" s="351"/>
      <c r="AR1298" s="770"/>
      <c r="AS1298" s="770"/>
      <c r="AT1298" s="770"/>
      <c r="BM1298" s="335"/>
    </row>
    <row r="1299" spans="37:65" ht="20" customHeight="1">
      <c r="AK1299" s="351"/>
      <c r="AL1299" s="351"/>
      <c r="AM1299" s="351"/>
      <c r="AN1299" s="351"/>
      <c r="AO1299" s="351"/>
      <c r="AP1299" s="351"/>
      <c r="AQ1299" s="351"/>
      <c r="AR1299" s="770"/>
      <c r="AS1299" s="770"/>
      <c r="AT1299" s="770"/>
      <c r="BM1299" s="335"/>
    </row>
    <row r="1300" spans="37:65" ht="20" customHeight="1">
      <c r="AK1300" s="351"/>
      <c r="AL1300" s="351"/>
      <c r="AM1300" s="351"/>
      <c r="AN1300" s="351"/>
      <c r="AO1300" s="351"/>
      <c r="AP1300" s="351"/>
      <c r="AQ1300" s="351"/>
      <c r="AR1300" s="770"/>
      <c r="AS1300" s="770"/>
      <c r="AT1300" s="770"/>
      <c r="BM1300" s="335"/>
    </row>
    <row r="1301" spans="37:65" ht="20" customHeight="1">
      <c r="AK1301" s="351"/>
      <c r="AL1301" s="351"/>
      <c r="AM1301" s="351"/>
      <c r="AN1301" s="351"/>
      <c r="AO1301" s="351"/>
      <c r="AP1301" s="351"/>
      <c r="AQ1301" s="351"/>
      <c r="AR1301" s="770"/>
      <c r="AS1301" s="770"/>
      <c r="AT1301" s="770"/>
      <c r="BM1301" s="335"/>
    </row>
    <row r="1302" spans="37:65" ht="20" customHeight="1">
      <c r="AK1302" s="351"/>
      <c r="AL1302" s="351"/>
      <c r="AM1302" s="351"/>
      <c r="AN1302" s="351"/>
      <c r="AO1302" s="351"/>
      <c r="AP1302" s="351"/>
      <c r="AQ1302" s="351"/>
      <c r="AR1302" s="770"/>
      <c r="AS1302" s="770"/>
      <c r="AT1302" s="770"/>
      <c r="BM1302" s="335"/>
    </row>
    <row r="1303" spans="37:65" ht="20" customHeight="1">
      <c r="AK1303" s="351"/>
      <c r="AL1303" s="351"/>
      <c r="AM1303" s="351"/>
      <c r="AN1303" s="351"/>
      <c r="AO1303" s="351"/>
      <c r="AP1303" s="351"/>
      <c r="AQ1303" s="351"/>
      <c r="AR1303" s="770"/>
      <c r="AS1303" s="770"/>
      <c r="AT1303" s="770"/>
      <c r="BM1303" s="335"/>
    </row>
    <row r="1304" spans="37:65" ht="20" customHeight="1">
      <c r="AK1304" s="351"/>
      <c r="AL1304" s="351"/>
      <c r="AM1304" s="351"/>
      <c r="AN1304" s="351"/>
      <c r="AO1304" s="351"/>
      <c r="AP1304" s="351"/>
      <c r="AQ1304" s="351"/>
      <c r="AR1304" s="770"/>
      <c r="AS1304" s="770"/>
      <c r="AT1304" s="770"/>
      <c r="BM1304" s="335"/>
    </row>
    <row r="1305" spans="37:65" ht="20" customHeight="1">
      <c r="AK1305" s="351"/>
      <c r="AL1305" s="351"/>
      <c r="AM1305" s="351"/>
      <c r="AN1305" s="351"/>
      <c r="AO1305" s="351"/>
      <c r="AP1305" s="351"/>
      <c r="AQ1305" s="351"/>
      <c r="AR1305" s="770"/>
      <c r="AS1305" s="770"/>
      <c r="AT1305" s="770"/>
      <c r="BM1305" s="335"/>
    </row>
    <row r="1306" spans="37:65" ht="20" customHeight="1">
      <c r="AK1306" s="351"/>
      <c r="AL1306" s="351"/>
      <c r="AM1306" s="351"/>
      <c r="AN1306" s="351"/>
      <c r="AO1306" s="351"/>
      <c r="AP1306" s="351"/>
      <c r="AQ1306" s="351"/>
      <c r="AR1306" s="770"/>
      <c r="AS1306" s="770"/>
      <c r="AT1306" s="770"/>
      <c r="BM1306" s="335"/>
    </row>
    <row r="1307" spans="37:65" ht="20" customHeight="1">
      <c r="AK1307" s="351"/>
      <c r="AL1307" s="351"/>
      <c r="AM1307" s="351"/>
      <c r="AN1307" s="351"/>
      <c r="AO1307" s="351"/>
      <c r="AP1307" s="351"/>
      <c r="AQ1307" s="351"/>
      <c r="AR1307" s="770"/>
      <c r="AS1307" s="770"/>
      <c r="AT1307" s="770"/>
      <c r="BM1307" s="335"/>
    </row>
    <row r="1308" spans="37:65" ht="20" customHeight="1">
      <c r="AK1308" s="351"/>
      <c r="AL1308" s="351"/>
      <c r="AM1308" s="351"/>
      <c r="AN1308" s="351"/>
      <c r="AO1308" s="351"/>
      <c r="AP1308" s="351"/>
      <c r="AQ1308" s="351"/>
      <c r="AR1308" s="770"/>
      <c r="AS1308" s="770"/>
      <c r="AT1308" s="770"/>
      <c r="BM1308" s="335"/>
    </row>
    <row r="1309" spans="37:65" ht="20" customHeight="1">
      <c r="AK1309" s="351"/>
      <c r="AL1309" s="351"/>
      <c r="AM1309" s="351"/>
      <c r="AN1309" s="351"/>
      <c r="AO1309" s="351"/>
      <c r="AP1309" s="351"/>
      <c r="AQ1309" s="351"/>
      <c r="AR1309" s="770"/>
      <c r="AS1309" s="770"/>
      <c r="AT1309" s="770"/>
      <c r="BM1309" s="335"/>
    </row>
    <row r="1310" spans="37:65" ht="20" customHeight="1">
      <c r="AK1310" s="351"/>
      <c r="AL1310" s="351"/>
      <c r="AM1310" s="351"/>
      <c r="AN1310" s="351"/>
      <c r="AO1310" s="351"/>
      <c r="AP1310" s="351"/>
      <c r="AQ1310" s="351"/>
      <c r="AR1310" s="770"/>
      <c r="AS1310" s="770"/>
      <c r="AT1310" s="770"/>
      <c r="BM1310" s="335"/>
    </row>
    <row r="1311" spans="37:65" ht="20" customHeight="1">
      <c r="AK1311" s="351"/>
      <c r="AL1311" s="351"/>
      <c r="AM1311" s="351"/>
      <c r="AN1311" s="351"/>
      <c r="AO1311" s="351"/>
      <c r="AP1311" s="351"/>
      <c r="AQ1311" s="351"/>
      <c r="AR1311" s="770"/>
      <c r="AS1311" s="770"/>
      <c r="AT1311" s="770"/>
      <c r="BM1311" s="335"/>
    </row>
    <row r="1312" spans="37:65" ht="20" customHeight="1">
      <c r="AK1312" s="351"/>
      <c r="AL1312" s="351"/>
      <c r="AM1312" s="351"/>
      <c r="AN1312" s="351"/>
      <c r="AO1312" s="351"/>
      <c r="AP1312" s="351"/>
      <c r="AQ1312" s="351"/>
      <c r="AR1312" s="770"/>
      <c r="AS1312" s="770"/>
      <c r="AT1312" s="770"/>
      <c r="BM1312" s="335"/>
    </row>
    <row r="1313" spans="37:65" ht="20" customHeight="1">
      <c r="AK1313" s="351"/>
      <c r="AL1313" s="351"/>
      <c r="AM1313" s="351"/>
      <c r="AN1313" s="351"/>
      <c r="AO1313" s="351"/>
      <c r="AP1313" s="351"/>
      <c r="AQ1313" s="351"/>
      <c r="AR1313" s="770"/>
      <c r="AS1313" s="770"/>
      <c r="AT1313" s="770"/>
      <c r="BM1313" s="335"/>
    </row>
    <row r="1314" spans="37:65" ht="20" customHeight="1">
      <c r="AK1314" s="351"/>
      <c r="AL1314" s="351"/>
      <c r="AM1314" s="351"/>
      <c r="AN1314" s="351"/>
      <c r="AO1314" s="351"/>
      <c r="AP1314" s="351"/>
      <c r="AQ1314" s="351"/>
      <c r="AR1314" s="770"/>
      <c r="AS1314" s="770"/>
      <c r="AT1314" s="770"/>
      <c r="BM1314" s="335"/>
    </row>
    <row r="1315" spans="37:65" ht="20" customHeight="1">
      <c r="AK1315" s="351"/>
      <c r="AL1315" s="351"/>
      <c r="AM1315" s="351"/>
      <c r="AN1315" s="351"/>
      <c r="AO1315" s="351"/>
      <c r="AP1315" s="351"/>
      <c r="AQ1315" s="351"/>
      <c r="AR1315" s="770"/>
      <c r="AS1315" s="770"/>
      <c r="AT1315" s="770"/>
      <c r="BM1315" s="335"/>
    </row>
    <row r="1316" spans="37:65" ht="20" customHeight="1">
      <c r="AK1316" s="351"/>
      <c r="AL1316" s="351"/>
      <c r="AM1316" s="351"/>
      <c r="AN1316" s="351"/>
      <c r="AO1316" s="351"/>
      <c r="AP1316" s="351"/>
      <c r="AQ1316" s="351"/>
      <c r="AR1316" s="770"/>
      <c r="AS1316" s="770"/>
      <c r="AT1316" s="770"/>
      <c r="BM1316" s="335"/>
    </row>
    <row r="1317" spans="37:65" ht="20" customHeight="1">
      <c r="AK1317" s="351"/>
      <c r="AL1317" s="351"/>
      <c r="AM1317" s="351"/>
      <c r="AN1317" s="351"/>
      <c r="AO1317" s="351"/>
      <c r="AP1317" s="351"/>
      <c r="AQ1317" s="351"/>
      <c r="AR1317" s="770"/>
      <c r="AS1317" s="770"/>
      <c r="AT1317" s="770"/>
      <c r="BM1317" s="335"/>
    </row>
    <row r="1318" spans="37:65" ht="20" customHeight="1">
      <c r="AK1318" s="351"/>
      <c r="AL1318" s="351"/>
      <c r="AM1318" s="351"/>
      <c r="AN1318" s="351"/>
      <c r="AO1318" s="351"/>
      <c r="AP1318" s="351"/>
      <c r="AQ1318" s="351"/>
      <c r="AR1318" s="770"/>
      <c r="AS1318" s="770"/>
      <c r="AT1318" s="770"/>
      <c r="BM1318" s="335"/>
    </row>
    <row r="1319" spans="37:65" ht="20" customHeight="1">
      <c r="AK1319" s="351"/>
      <c r="AL1319" s="351"/>
      <c r="AM1319" s="351"/>
      <c r="AN1319" s="351"/>
      <c r="AO1319" s="351"/>
      <c r="AP1319" s="351"/>
      <c r="AQ1319" s="351"/>
      <c r="AR1319" s="770"/>
      <c r="AS1319" s="770"/>
      <c r="AT1319" s="770"/>
      <c r="BM1319" s="335"/>
    </row>
    <row r="1320" spans="37:65" ht="20" customHeight="1">
      <c r="AK1320" s="351"/>
      <c r="AL1320" s="351"/>
      <c r="AM1320" s="351"/>
      <c r="AN1320" s="351"/>
      <c r="AO1320" s="351"/>
      <c r="AP1320" s="351"/>
      <c r="AQ1320" s="351"/>
      <c r="AR1320" s="770"/>
      <c r="AS1320" s="770"/>
      <c r="AT1320" s="770"/>
      <c r="BM1320" s="335"/>
    </row>
    <row r="1321" spans="37:65" ht="20" customHeight="1">
      <c r="AK1321" s="351"/>
      <c r="AL1321" s="351"/>
      <c r="AM1321" s="351"/>
      <c r="AN1321" s="351"/>
      <c r="AO1321" s="351"/>
      <c r="AP1321" s="351"/>
      <c r="AQ1321" s="351"/>
      <c r="AR1321" s="770"/>
      <c r="AS1321" s="770"/>
      <c r="AT1321" s="770"/>
      <c r="BM1321" s="335"/>
    </row>
    <row r="1322" spans="37:65" ht="20" customHeight="1">
      <c r="AK1322" s="351"/>
      <c r="AL1322" s="351"/>
      <c r="AM1322" s="351"/>
      <c r="AN1322" s="351"/>
      <c r="AO1322" s="351"/>
      <c r="AP1322" s="351"/>
      <c r="AQ1322" s="351"/>
      <c r="AR1322" s="770"/>
      <c r="AS1322" s="770"/>
      <c r="AT1322" s="770"/>
      <c r="BM1322" s="335"/>
    </row>
    <row r="1323" spans="37:65" ht="20" customHeight="1">
      <c r="AK1323" s="351"/>
      <c r="AL1323" s="351"/>
      <c r="AM1323" s="351"/>
      <c r="AN1323" s="351"/>
      <c r="AO1323" s="351"/>
      <c r="AP1323" s="351"/>
      <c r="AQ1323" s="351"/>
      <c r="AR1323" s="770"/>
      <c r="AS1323" s="770"/>
      <c r="AT1323" s="770"/>
      <c r="BM1323" s="335"/>
    </row>
    <row r="1324" spans="37:65" ht="20" customHeight="1">
      <c r="AK1324" s="351"/>
      <c r="AL1324" s="351"/>
      <c r="AM1324" s="351"/>
      <c r="AN1324" s="351"/>
      <c r="AO1324" s="351"/>
      <c r="AP1324" s="351"/>
      <c r="AQ1324" s="351"/>
      <c r="AR1324" s="770"/>
      <c r="AS1324" s="770"/>
      <c r="AT1324" s="770"/>
      <c r="BM1324" s="335"/>
    </row>
    <row r="1325" spans="37:65" ht="20" customHeight="1">
      <c r="AK1325" s="351"/>
      <c r="AL1325" s="351"/>
      <c r="AM1325" s="351"/>
      <c r="AN1325" s="351"/>
      <c r="AO1325" s="351"/>
      <c r="AP1325" s="351"/>
      <c r="AQ1325" s="351"/>
      <c r="AR1325" s="770"/>
      <c r="AS1325" s="770"/>
      <c r="AT1325" s="770"/>
      <c r="BM1325" s="335"/>
    </row>
    <row r="1326" spans="37:65" ht="20" customHeight="1">
      <c r="AK1326" s="351"/>
      <c r="AL1326" s="351"/>
      <c r="AM1326" s="351"/>
      <c r="AN1326" s="351"/>
      <c r="AO1326" s="351"/>
      <c r="AP1326" s="351"/>
      <c r="AQ1326" s="351"/>
      <c r="AR1326" s="770"/>
      <c r="AS1326" s="770"/>
      <c r="AT1326" s="770"/>
      <c r="BM1326" s="335"/>
    </row>
    <row r="1327" spans="37:65" ht="20" customHeight="1">
      <c r="AK1327" s="351"/>
      <c r="AL1327" s="351"/>
      <c r="AM1327" s="351"/>
      <c r="AN1327" s="351"/>
      <c r="AO1327" s="351"/>
      <c r="AP1327" s="351"/>
      <c r="AQ1327" s="351"/>
      <c r="AR1327" s="770"/>
      <c r="AS1327" s="770"/>
      <c r="AT1327" s="770"/>
      <c r="BM1327" s="335"/>
    </row>
    <row r="1328" spans="37:65" ht="20" customHeight="1">
      <c r="AK1328" s="351"/>
      <c r="AL1328" s="351"/>
      <c r="AM1328" s="351"/>
      <c r="AN1328" s="351"/>
      <c r="AO1328" s="351"/>
      <c r="AP1328" s="351"/>
      <c r="AQ1328" s="351"/>
      <c r="AR1328" s="770"/>
      <c r="AS1328" s="770"/>
      <c r="AT1328" s="770"/>
      <c r="BM1328" s="335"/>
    </row>
    <row r="1329" spans="37:65" ht="20" customHeight="1">
      <c r="AK1329" s="351"/>
      <c r="AL1329" s="351"/>
      <c r="AM1329" s="351"/>
      <c r="AN1329" s="351"/>
      <c r="AO1329" s="351"/>
      <c r="AP1329" s="351"/>
      <c r="AQ1329" s="351"/>
      <c r="AR1329" s="770"/>
      <c r="AS1329" s="770"/>
      <c r="AT1329" s="770"/>
      <c r="BM1329" s="335"/>
    </row>
    <row r="1330" spans="37:65" ht="20" customHeight="1">
      <c r="AK1330" s="351"/>
      <c r="AL1330" s="351"/>
      <c r="AM1330" s="351"/>
      <c r="AN1330" s="351"/>
      <c r="AO1330" s="351"/>
      <c r="AP1330" s="351"/>
      <c r="AQ1330" s="351"/>
      <c r="AR1330" s="770"/>
      <c r="AS1330" s="770"/>
      <c r="AT1330" s="770"/>
      <c r="BM1330" s="335"/>
    </row>
    <row r="1331" spans="37:65" ht="20" customHeight="1">
      <c r="AK1331" s="351"/>
      <c r="AL1331" s="351"/>
      <c r="AM1331" s="351"/>
      <c r="AN1331" s="351"/>
      <c r="AO1331" s="351"/>
      <c r="AP1331" s="351"/>
      <c r="AQ1331" s="351"/>
      <c r="AR1331" s="770"/>
      <c r="AS1331" s="770"/>
      <c r="AT1331" s="770"/>
      <c r="BM1331" s="335"/>
    </row>
    <row r="1332" spans="37:65" ht="20" customHeight="1">
      <c r="AK1332" s="351"/>
      <c r="AL1332" s="351"/>
      <c r="AM1332" s="351"/>
      <c r="AN1332" s="351"/>
      <c r="AO1332" s="351"/>
      <c r="AP1332" s="351"/>
      <c r="AQ1332" s="351"/>
      <c r="AR1332" s="770"/>
      <c r="AS1332" s="770"/>
      <c r="AT1332" s="770"/>
      <c r="BM1332" s="335"/>
    </row>
    <row r="1333" spans="37:65" ht="20" customHeight="1">
      <c r="AK1333" s="351"/>
      <c r="AL1333" s="351"/>
      <c r="AM1333" s="351"/>
      <c r="AN1333" s="351"/>
      <c r="AO1333" s="351"/>
      <c r="AP1333" s="351"/>
      <c r="AQ1333" s="351"/>
      <c r="AR1333" s="770"/>
      <c r="AS1333" s="770"/>
      <c r="AT1333" s="770"/>
      <c r="BM1333" s="335"/>
    </row>
    <row r="1334" spans="37:65" ht="20" customHeight="1">
      <c r="AK1334" s="351"/>
      <c r="AL1334" s="351"/>
      <c r="AM1334" s="351"/>
      <c r="AN1334" s="351"/>
      <c r="AO1334" s="351"/>
      <c r="AP1334" s="351"/>
      <c r="AQ1334" s="351"/>
      <c r="AR1334" s="770"/>
      <c r="AS1334" s="770"/>
      <c r="AT1334" s="770"/>
      <c r="BM1334" s="335"/>
    </row>
    <row r="1335" spans="37:65" ht="20" customHeight="1">
      <c r="AK1335" s="351"/>
      <c r="AL1335" s="351"/>
      <c r="AM1335" s="351"/>
      <c r="AN1335" s="351"/>
      <c r="AO1335" s="351"/>
      <c r="AP1335" s="351"/>
      <c r="AQ1335" s="351"/>
      <c r="AR1335" s="770"/>
      <c r="AS1335" s="770"/>
      <c r="AT1335" s="770"/>
      <c r="BM1335" s="335"/>
    </row>
    <row r="1336" spans="37:65" ht="20" customHeight="1">
      <c r="AK1336" s="351"/>
      <c r="AL1336" s="351"/>
      <c r="AM1336" s="351"/>
      <c r="AN1336" s="351"/>
      <c r="AO1336" s="351"/>
      <c r="AP1336" s="351"/>
      <c r="AQ1336" s="351"/>
      <c r="AR1336" s="770"/>
      <c r="AS1336" s="770"/>
      <c r="AT1336" s="770"/>
      <c r="BM1336" s="335"/>
    </row>
    <row r="1337" spans="37:65" ht="20" customHeight="1">
      <c r="AK1337" s="351"/>
      <c r="AL1337" s="351"/>
      <c r="AM1337" s="351"/>
      <c r="AN1337" s="351"/>
      <c r="AO1337" s="351"/>
      <c r="AP1337" s="351"/>
      <c r="AQ1337" s="351"/>
      <c r="AR1337" s="770"/>
      <c r="AS1337" s="770"/>
      <c r="AT1337" s="770"/>
      <c r="BM1337" s="335"/>
    </row>
    <row r="1338" spans="37:65" ht="20" customHeight="1">
      <c r="AK1338" s="351"/>
      <c r="AL1338" s="351"/>
      <c r="AM1338" s="351"/>
      <c r="AN1338" s="351"/>
      <c r="AO1338" s="351"/>
      <c r="AP1338" s="351"/>
      <c r="AQ1338" s="351"/>
      <c r="AR1338" s="770"/>
      <c r="AS1338" s="770"/>
      <c r="AT1338" s="770"/>
      <c r="BM1338" s="335"/>
    </row>
    <row r="1339" spans="37:65" ht="20" customHeight="1">
      <c r="AK1339" s="351"/>
      <c r="AL1339" s="351"/>
      <c r="AM1339" s="351"/>
      <c r="AN1339" s="351"/>
      <c r="AO1339" s="351"/>
      <c r="AP1339" s="351"/>
      <c r="AQ1339" s="351"/>
      <c r="AR1339" s="770"/>
      <c r="AS1339" s="770"/>
      <c r="AT1339" s="770"/>
      <c r="BM1339" s="335"/>
    </row>
    <row r="1340" spans="37:65" ht="20" customHeight="1">
      <c r="AK1340" s="351"/>
      <c r="AL1340" s="351"/>
      <c r="AM1340" s="351"/>
      <c r="AN1340" s="351"/>
      <c r="AO1340" s="351"/>
      <c r="AP1340" s="351"/>
      <c r="AQ1340" s="351"/>
      <c r="AR1340" s="770"/>
      <c r="AS1340" s="770"/>
      <c r="AT1340" s="770"/>
      <c r="BM1340" s="335"/>
    </row>
    <row r="1341" spans="37:65" ht="20" customHeight="1">
      <c r="BM1341" s="336"/>
    </row>
  </sheetData>
  <sheetProtection algorithmName="SHA-512" hashValue="O9eVKHwD4OCKYLkgtCe82axhHyqW23JJqdUiIYrcatU7W85lP/eYiJzdqC2mDHzADFiuJInjWYRn/qHLElYKMw==" saltValue="6xsSQep+V++/d3TB0JUU/w==" spinCount="100000" sheet="1" objects="1" scenarios="1"/>
  <mergeCells count="125">
    <mergeCell ref="AS6:AS8"/>
    <mergeCell ref="M7:M8"/>
    <mergeCell ref="AI3:AJ3"/>
    <mergeCell ref="N4:Q5"/>
    <mergeCell ref="BD9:BD79"/>
    <mergeCell ref="AW7:BC7"/>
    <mergeCell ref="BE7:BK7"/>
    <mergeCell ref="BM7:BS7"/>
    <mergeCell ref="B7:C8"/>
    <mergeCell ref="F8:H8"/>
    <mergeCell ref="L50:M50"/>
    <mergeCell ref="L40:M40"/>
    <mergeCell ref="L30:M30"/>
    <mergeCell ref="L20:M20"/>
    <mergeCell ref="L10:M10"/>
    <mergeCell ref="AI2:AK2"/>
    <mergeCell ref="AI7:AK7"/>
    <mergeCell ref="F2:H2"/>
    <mergeCell ref="F3:H3"/>
    <mergeCell ref="F4:H4"/>
    <mergeCell ref="F5:H5"/>
    <mergeCell ref="S2:U2"/>
    <mergeCell ref="W2:Y2"/>
    <mergeCell ref="AA2:AC2"/>
    <mergeCell ref="AE2:AG2"/>
    <mergeCell ref="F7:H7"/>
    <mergeCell ref="S3:T3"/>
    <mergeCell ref="W3:X3"/>
    <mergeCell ref="AA3:AB3"/>
    <mergeCell ref="AE3:AF3"/>
    <mergeCell ref="A2:B2"/>
    <mergeCell ref="L990:M990"/>
    <mergeCell ref="L980:M980"/>
    <mergeCell ref="L970:M970"/>
    <mergeCell ref="L960:M960"/>
    <mergeCell ref="L950:M950"/>
    <mergeCell ref="L940:M940"/>
    <mergeCell ref="L930:M930"/>
    <mergeCell ref="L920:M920"/>
    <mergeCell ref="L910:M910"/>
    <mergeCell ref="L900:M900"/>
    <mergeCell ref="L890:M890"/>
    <mergeCell ref="L880:M880"/>
    <mergeCell ref="L870:M870"/>
    <mergeCell ref="L860:M860"/>
    <mergeCell ref="L850:M850"/>
    <mergeCell ref="L840:M840"/>
    <mergeCell ref="L830:M830"/>
    <mergeCell ref="L820:M820"/>
    <mergeCell ref="L810:M810"/>
    <mergeCell ref="L800:M800"/>
    <mergeCell ref="L790:M790"/>
    <mergeCell ref="L780:M780"/>
    <mergeCell ref="L770:M770"/>
    <mergeCell ref="L750:M750"/>
    <mergeCell ref="L760:M760"/>
    <mergeCell ref="L740:M740"/>
    <mergeCell ref="L730:M730"/>
    <mergeCell ref="L720:M720"/>
    <mergeCell ref="L710:M710"/>
    <mergeCell ref="L700:M700"/>
    <mergeCell ref="L690:M690"/>
    <mergeCell ref="L680:M680"/>
    <mergeCell ref="L670:M670"/>
    <mergeCell ref="L660:M660"/>
    <mergeCell ref="L650:M650"/>
    <mergeCell ref="L640:M640"/>
    <mergeCell ref="L630:M630"/>
    <mergeCell ref="L620:M620"/>
    <mergeCell ref="L610:M610"/>
    <mergeCell ref="L600:M600"/>
    <mergeCell ref="L590:M590"/>
    <mergeCell ref="L580:M580"/>
    <mergeCell ref="L570:M570"/>
    <mergeCell ref="L560:M560"/>
    <mergeCell ref="L550:M550"/>
    <mergeCell ref="L540:M540"/>
    <mergeCell ref="L530:M530"/>
    <mergeCell ref="L520:M520"/>
    <mergeCell ref="L510:M510"/>
    <mergeCell ref="L500:M500"/>
    <mergeCell ref="L490:M490"/>
    <mergeCell ref="L480:M480"/>
    <mergeCell ref="L470:M470"/>
    <mergeCell ref="L460:M460"/>
    <mergeCell ref="L450:M450"/>
    <mergeCell ref="L440:M440"/>
    <mergeCell ref="L430:M430"/>
    <mergeCell ref="L420:M420"/>
    <mergeCell ref="L410:M410"/>
    <mergeCell ref="L120:M120"/>
    <mergeCell ref="L110:M110"/>
    <mergeCell ref="L100:M100"/>
    <mergeCell ref="L90:M90"/>
    <mergeCell ref="L80:M80"/>
    <mergeCell ref="L70:M70"/>
    <mergeCell ref="L60:M60"/>
    <mergeCell ref="L400:M400"/>
    <mergeCell ref="L390:M390"/>
    <mergeCell ref="L380:M380"/>
    <mergeCell ref="L370:M370"/>
    <mergeCell ref="L360:M360"/>
    <mergeCell ref="L350:M350"/>
    <mergeCell ref="L340:M340"/>
    <mergeCell ref="L330:M330"/>
    <mergeCell ref="L320:M320"/>
    <mergeCell ref="L310:M310"/>
    <mergeCell ref="L300:M300"/>
    <mergeCell ref="L290:M290"/>
    <mergeCell ref="L280:M280"/>
    <mergeCell ref="L270:M270"/>
    <mergeCell ref="L260:M260"/>
    <mergeCell ref="L250:M250"/>
    <mergeCell ref="L240:M240"/>
    <mergeCell ref="L140:M140"/>
    <mergeCell ref="L130:M130"/>
    <mergeCell ref="L230:M230"/>
    <mergeCell ref="L220:M220"/>
    <mergeCell ref="L210:M210"/>
    <mergeCell ref="L200:M200"/>
    <mergeCell ref="L190:M190"/>
    <mergeCell ref="L180:M180"/>
    <mergeCell ref="L170:M170"/>
    <mergeCell ref="L160:M160"/>
    <mergeCell ref="L150:M150"/>
  </mergeCells>
  <conditionalFormatting sqref="M13 M11 M15 M17 M23 M21 M25 M27 M33 M31 M35 M37 M43 M41 M45 M47 M53 M51 M55 M57 M63 M61 M65 M67 M73 M71 M75 M77 M83 M81 M85 M87 M93 M91 M95 M97 M103 M101 M105 M107 M113 M111 M115 M117 M123 M121 M125 M127 M133 M131 M135 M137 M143 M141 M145 M147 M153 M151 M155 M157 M163 M161 M165 M167 M173 M171 M175 M177 M183 M181 M185 M187 M193 M191 M195 M197 M203 M201 M205 M207 M213 M211 M215 M217 M223 M221 M225 M227 M233 M231 M235 M237 M243 M241 M245 M247 M253 M251 M255 M257 M263 M261 M265 M267 M273 M271 M275 M277 M283 M281 M285 M287 M293 M291 M295 M297 M303 M301 M305 M307 M313 M311 M315 M317 M323 M321 M325 M327 M333 M331 M335 M337 M343 M341 M345 M347 M353 M351 M355 M357 M363 M361 M365 M367 M373 M371 M375 M377 M383 M381 M385 M387 M393 M391 M395 M397 M403 M401 M405 M407 M413 M411 M415 M417 M423 M421 M425 M427 M433 M431 M435 M437 M443 M441 M445 M447 M453 M451 M455 M457 M463 M461 M465 M467 M473 M471 M475 M477 M483 M481 M485 M487 M493 M491 M495 M497 M513 M511 M515 M517 M523 M521 M525 M527 M533 M531 M535 M537 M543 M541 M545 M547 M553 M551 M555 M557 M563 M561 M565 M567 M573 M571 M575 M577 M583 M581 M585 M587 M593 M591 M595 M597 M603 M601 M605 M607 M613 M611 M615 M617 M503 M501 M505 M507 M623 M621 M625 M627 M633 M631 M635 M637 M643 M641 M645 M647 M653 M651 M655 M657 M663 M661 M665 M667 M673 M671 M675 M677 M683 M681 M685 M687 M693 M691 M695 M697 M703 M701 M705 M707 M713 M711 M715 M717 M723 M721 M725 M727 M733 M731 M735 M737 M743 M741 M745 M747 M753 M751 M755 M757 M763 M761 M765 M767 M773 M771 M775 M777 M783 M781 M785 M787 M793 M791 M795 M797 M803 M801 M805 M807 M813 M811 M815 M817 M823 M821 M825 M827 M833 M831 M835 M837 M843 M841 M845 M847 M853 M851 M855 M857 M863 M861 M865 M867 M873 M871 M875 M877 M883 M881 M885 M887 M893 M891 M895 M897 M903 M901 M905 M907 M913 M911 M915 M917 M923 M921 M925 M927 M933 M931 M935 M937 M943 M941 M945 M947 M953 M951 M955 M957 M963 M961 M965 M967 M983 M981 M985 M987 M993 M991 M995 M997 M973 M971 M975 M977">
    <cfRule type="cellIs" dxfId="110" priority="622" stopIfTrue="1" operator="greaterThan">
      <formula>I$12</formula>
    </cfRule>
  </conditionalFormatting>
  <conditionalFormatting sqref="R12 R22 R32 R42 R52 R62 R72 R82 R92 R102 R112 R122 R132 R142 R152 R162 R172 R182 R192 R202 R212 R222 R232 R242 R252 R262 R272 R282 R292 R302 R312 R322 R332 R342 R352 R362 R372 R382 R392 R402 R412 R422 R432 R442 R452 R462 R472 R482 R492 R502 R512 R522 R532 R542 R552 R562 R572 R582 R592 R602 R612 R622 R632 R642 R652 R662 R672 R682 R692 R702 R712 R722 R732 R742 R752 R762 R772 R782 R792 R802 R812 R822 R832 R842 R852 R862 R872 R882 R892 R902 R912 R922 R932 R942 R952 R962 R972 R982 R992">
    <cfRule type="cellIs" dxfId="109" priority="623" stopIfTrue="1" operator="greaterThan">
      <formula>0</formula>
    </cfRule>
  </conditionalFormatting>
  <conditionalFormatting sqref="R14">
    <cfRule type="cellIs" dxfId="108" priority="548" stopIfTrue="1" operator="greaterThan">
      <formula>P$12</formula>
    </cfRule>
  </conditionalFormatting>
  <conditionalFormatting sqref="R24">
    <cfRule type="cellIs" dxfId="107" priority="546" stopIfTrue="1" operator="greaterThan">
      <formula>P$12</formula>
    </cfRule>
  </conditionalFormatting>
  <conditionalFormatting sqref="R34">
    <cfRule type="cellIs" dxfId="106" priority="447" stopIfTrue="1" operator="greaterThan">
      <formula>P$12</formula>
    </cfRule>
  </conditionalFormatting>
  <conditionalFormatting sqref="R44">
    <cfRule type="cellIs" dxfId="105" priority="544" stopIfTrue="1" operator="greaterThan">
      <formula>P$12</formula>
    </cfRule>
  </conditionalFormatting>
  <conditionalFormatting sqref="R54">
    <cfRule type="cellIs" dxfId="104" priority="543" stopIfTrue="1" operator="greaterThan">
      <formula>P$12</formula>
    </cfRule>
  </conditionalFormatting>
  <conditionalFormatting sqref="R64">
    <cfRule type="cellIs" dxfId="103" priority="542" stopIfTrue="1" operator="greaterThan">
      <formula>P$12</formula>
    </cfRule>
  </conditionalFormatting>
  <conditionalFormatting sqref="R74">
    <cfRule type="cellIs" dxfId="102" priority="541" stopIfTrue="1" operator="greaterThan">
      <formula>P$12</formula>
    </cfRule>
  </conditionalFormatting>
  <conditionalFormatting sqref="R84">
    <cfRule type="cellIs" dxfId="101" priority="540" stopIfTrue="1" operator="greaterThan">
      <formula>P$12</formula>
    </cfRule>
  </conditionalFormatting>
  <conditionalFormatting sqref="R94">
    <cfRule type="cellIs" dxfId="100" priority="539" stopIfTrue="1" operator="greaterThan">
      <formula>P$12</formula>
    </cfRule>
  </conditionalFormatting>
  <conditionalFormatting sqref="R104">
    <cfRule type="cellIs" dxfId="99" priority="538" stopIfTrue="1" operator="greaterThan">
      <formula>P$12</formula>
    </cfRule>
  </conditionalFormatting>
  <conditionalFormatting sqref="R114">
    <cfRule type="cellIs" dxfId="98" priority="537" stopIfTrue="1" operator="greaterThan">
      <formula>P$12</formula>
    </cfRule>
  </conditionalFormatting>
  <conditionalFormatting sqref="R124">
    <cfRule type="cellIs" dxfId="97" priority="536" stopIfTrue="1" operator="greaterThan">
      <formula>P$12</formula>
    </cfRule>
  </conditionalFormatting>
  <conditionalFormatting sqref="R134">
    <cfRule type="cellIs" dxfId="96" priority="535" stopIfTrue="1" operator="greaterThan">
      <formula>P$12</formula>
    </cfRule>
  </conditionalFormatting>
  <conditionalFormatting sqref="R144">
    <cfRule type="cellIs" dxfId="95" priority="534" stopIfTrue="1" operator="greaterThan">
      <formula>P$12</formula>
    </cfRule>
  </conditionalFormatting>
  <conditionalFormatting sqref="R154">
    <cfRule type="cellIs" dxfId="94" priority="533" stopIfTrue="1" operator="greaterThan">
      <formula>P$12</formula>
    </cfRule>
  </conditionalFormatting>
  <conditionalFormatting sqref="R164">
    <cfRule type="cellIs" dxfId="93" priority="532" stopIfTrue="1" operator="greaterThan">
      <formula>P$12</formula>
    </cfRule>
  </conditionalFormatting>
  <conditionalFormatting sqref="R174">
    <cfRule type="cellIs" dxfId="92" priority="531" stopIfTrue="1" operator="greaterThan">
      <formula>P$12</formula>
    </cfRule>
  </conditionalFormatting>
  <conditionalFormatting sqref="R184">
    <cfRule type="cellIs" dxfId="91" priority="530" stopIfTrue="1" operator="greaterThan">
      <formula>P$12</formula>
    </cfRule>
  </conditionalFormatting>
  <conditionalFormatting sqref="R194">
    <cfRule type="cellIs" dxfId="90" priority="529" stopIfTrue="1" operator="greaterThan">
      <formula>P$12</formula>
    </cfRule>
  </conditionalFormatting>
  <conditionalFormatting sqref="R204">
    <cfRule type="cellIs" dxfId="89" priority="528" stopIfTrue="1" operator="greaterThan">
      <formula>P$12</formula>
    </cfRule>
  </conditionalFormatting>
  <conditionalFormatting sqref="R214">
    <cfRule type="cellIs" dxfId="88" priority="527" stopIfTrue="1" operator="greaterThan">
      <formula>P$12</formula>
    </cfRule>
  </conditionalFormatting>
  <conditionalFormatting sqref="R224">
    <cfRule type="cellIs" dxfId="87" priority="526" stopIfTrue="1" operator="greaterThan">
      <formula>P$12</formula>
    </cfRule>
  </conditionalFormatting>
  <conditionalFormatting sqref="R234">
    <cfRule type="cellIs" dxfId="86" priority="525" stopIfTrue="1" operator="greaterThan">
      <formula>P$12</formula>
    </cfRule>
  </conditionalFormatting>
  <conditionalFormatting sqref="R244">
    <cfRule type="cellIs" dxfId="85" priority="524" stopIfTrue="1" operator="greaterThan">
      <formula>P$12</formula>
    </cfRule>
  </conditionalFormatting>
  <conditionalFormatting sqref="R254">
    <cfRule type="cellIs" dxfId="84" priority="523" stopIfTrue="1" operator="greaterThan">
      <formula>P$12</formula>
    </cfRule>
  </conditionalFormatting>
  <conditionalFormatting sqref="R264">
    <cfRule type="cellIs" dxfId="83" priority="522" stopIfTrue="1" operator="greaterThan">
      <formula>P$12</formula>
    </cfRule>
  </conditionalFormatting>
  <conditionalFormatting sqref="R274">
    <cfRule type="cellIs" dxfId="82" priority="521" stopIfTrue="1" operator="greaterThan">
      <formula>P$12</formula>
    </cfRule>
  </conditionalFormatting>
  <conditionalFormatting sqref="R284">
    <cfRule type="cellIs" dxfId="81" priority="520" stopIfTrue="1" operator="greaterThan">
      <formula>P$12</formula>
    </cfRule>
  </conditionalFormatting>
  <conditionalFormatting sqref="R294">
    <cfRule type="cellIs" dxfId="80" priority="519" stopIfTrue="1" operator="greaterThan">
      <formula>P$12</formula>
    </cfRule>
  </conditionalFormatting>
  <conditionalFormatting sqref="R304">
    <cfRule type="cellIs" dxfId="79" priority="518" stopIfTrue="1" operator="greaterThan">
      <formula>P$12</formula>
    </cfRule>
  </conditionalFormatting>
  <conditionalFormatting sqref="R314">
    <cfRule type="cellIs" dxfId="78" priority="517" stopIfTrue="1" operator="greaterThan">
      <formula>P$12</formula>
    </cfRule>
  </conditionalFormatting>
  <conditionalFormatting sqref="R324">
    <cfRule type="cellIs" dxfId="77" priority="516" stopIfTrue="1" operator="greaterThan">
      <formula>P$12</formula>
    </cfRule>
  </conditionalFormatting>
  <conditionalFormatting sqref="R334">
    <cfRule type="cellIs" dxfId="76" priority="515" stopIfTrue="1" operator="greaterThan">
      <formula>P$12</formula>
    </cfRule>
  </conditionalFormatting>
  <conditionalFormatting sqref="R344">
    <cfRule type="cellIs" dxfId="75" priority="514" stopIfTrue="1" operator="greaterThan">
      <formula>P$12</formula>
    </cfRule>
  </conditionalFormatting>
  <conditionalFormatting sqref="R354">
    <cfRule type="cellIs" dxfId="74" priority="513" stopIfTrue="1" operator="greaterThan">
      <formula>P$12</formula>
    </cfRule>
  </conditionalFormatting>
  <conditionalFormatting sqref="R364">
    <cfRule type="cellIs" dxfId="73" priority="512" stopIfTrue="1" operator="greaterThan">
      <formula>P$12</formula>
    </cfRule>
  </conditionalFormatting>
  <conditionalFormatting sqref="R374">
    <cfRule type="cellIs" dxfId="72" priority="511" stopIfTrue="1" operator="greaterThan">
      <formula>P$12</formula>
    </cfRule>
  </conditionalFormatting>
  <conditionalFormatting sqref="R384">
    <cfRule type="cellIs" dxfId="71" priority="510" stopIfTrue="1" operator="greaterThan">
      <formula>P$12</formula>
    </cfRule>
  </conditionalFormatting>
  <conditionalFormatting sqref="R394">
    <cfRule type="cellIs" dxfId="70" priority="509" stopIfTrue="1" operator="greaterThan">
      <formula>P$12</formula>
    </cfRule>
  </conditionalFormatting>
  <conditionalFormatting sqref="R404">
    <cfRule type="cellIs" dxfId="69" priority="508" stopIfTrue="1" operator="greaterThan">
      <formula>P$12</formula>
    </cfRule>
  </conditionalFormatting>
  <conditionalFormatting sqref="R414">
    <cfRule type="cellIs" dxfId="68" priority="507" stopIfTrue="1" operator="greaterThan">
      <formula>P$12</formula>
    </cfRule>
  </conditionalFormatting>
  <conditionalFormatting sqref="R424">
    <cfRule type="cellIs" dxfId="67" priority="506" stopIfTrue="1" operator="greaterThan">
      <formula>P$12</formula>
    </cfRule>
  </conditionalFormatting>
  <conditionalFormatting sqref="R434">
    <cfRule type="cellIs" dxfId="66" priority="505" stopIfTrue="1" operator="greaterThan">
      <formula>P$12</formula>
    </cfRule>
  </conditionalFormatting>
  <conditionalFormatting sqref="R444">
    <cfRule type="cellIs" dxfId="65" priority="504" stopIfTrue="1" operator="greaterThan">
      <formula>P$12</formula>
    </cfRule>
  </conditionalFormatting>
  <conditionalFormatting sqref="R454">
    <cfRule type="cellIs" dxfId="64" priority="503" stopIfTrue="1" operator="greaterThan">
      <formula>P$12</formula>
    </cfRule>
  </conditionalFormatting>
  <conditionalFormatting sqref="R464">
    <cfRule type="cellIs" dxfId="63" priority="502" stopIfTrue="1" operator="greaterThan">
      <formula>P$12</formula>
    </cfRule>
  </conditionalFormatting>
  <conditionalFormatting sqref="R474">
    <cfRule type="cellIs" dxfId="62" priority="501" stopIfTrue="1" operator="greaterThan">
      <formula>P$12</formula>
    </cfRule>
  </conditionalFormatting>
  <conditionalFormatting sqref="R484">
    <cfRule type="cellIs" dxfId="61" priority="500" stopIfTrue="1" operator="greaterThan">
      <formula>P$12</formula>
    </cfRule>
  </conditionalFormatting>
  <conditionalFormatting sqref="R494">
    <cfRule type="cellIs" dxfId="60" priority="499" stopIfTrue="1" operator="greaterThan">
      <formula>P$12</formula>
    </cfRule>
  </conditionalFormatting>
  <conditionalFormatting sqref="R504">
    <cfRule type="cellIs" dxfId="59" priority="498" stopIfTrue="1" operator="greaterThan">
      <formula>P$12</formula>
    </cfRule>
  </conditionalFormatting>
  <conditionalFormatting sqref="R514">
    <cfRule type="cellIs" dxfId="58" priority="497" stopIfTrue="1" operator="greaterThan">
      <formula>P$12</formula>
    </cfRule>
  </conditionalFormatting>
  <conditionalFormatting sqref="R524">
    <cfRule type="cellIs" dxfId="57" priority="496" stopIfTrue="1" operator="greaterThan">
      <formula>P$12</formula>
    </cfRule>
  </conditionalFormatting>
  <conditionalFormatting sqref="R534">
    <cfRule type="cellIs" dxfId="56" priority="495" stopIfTrue="1" operator="greaterThan">
      <formula>P$12</formula>
    </cfRule>
  </conditionalFormatting>
  <conditionalFormatting sqref="R544">
    <cfRule type="cellIs" dxfId="55" priority="494" stopIfTrue="1" operator="greaterThan">
      <formula>P$12</formula>
    </cfRule>
  </conditionalFormatting>
  <conditionalFormatting sqref="R554">
    <cfRule type="cellIs" dxfId="54" priority="493" stopIfTrue="1" operator="greaterThan">
      <formula>P$12</formula>
    </cfRule>
  </conditionalFormatting>
  <conditionalFormatting sqref="R564">
    <cfRule type="cellIs" dxfId="53" priority="492" stopIfTrue="1" operator="greaterThan">
      <formula>P$12</formula>
    </cfRule>
  </conditionalFormatting>
  <conditionalFormatting sqref="R574">
    <cfRule type="cellIs" dxfId="52" priority="491" stopIfTrue="1" operator="greaterThan">
      <formula>P$12</formula>
    </cfRule>
  </conditionalFormatting>
  <conditionalFormatting sqref="R584">
    <cfRule type="cellIs" dxfId="51" priority="490" stopIfTrue="1" operator="greaterThan">
      <formula>P$12</formula>
    </cfRule>
  </conditionalFormatting>
  <conditionalFormatting sqref="R594">
    <cfRule type="cellIs" dxfId="50" priority="489" stopIfTrue="1" operator="greaterThan">
      <formula>P$12</formula>
    </cfRule>
  </conditionalFormatting>
  <conditionalFormatting sqref="R604">
    <cfRule type="cellIs" dxfId="49" priority="488" stopIfTrue="1" operator="greaterThan">
      <formula>P$12</formula>
    </cfRule>
  </conditionalFormatting>
  <conditionalFormatting sqref="R614">
    <cfRule type="cellIs" dxfId="48" priority="487" stopIfTrue="1" operator="greaterThan">
      <formula>P$12</formula>
    </cfRule>
  </conditionalFormatting>
  <conditionalFormatting sqref="R624">
    <cfRule type="cellIs" dxfId="47" priority="486" stopIfTrue="1" operator="greaterThan">
      <formula>P$12</formula>
    </cfRule>
  </conditionalFormatting>
  <conditionalFormatting sqref="R634">
    <cfRule type="cellIs" dxfId="46" priority="485" stopIfTrue="1" operator="greaterThan">
      <formula>P$12</formula>
    </cfRule>
  </conditionalFormatting>
  <conditionalFormatting sqref="R644">
    <cfRule type="cellIs" dxfId="45" priority="484" stopIfTrue="1" operator="greaterThan">
      <formula>P$12</formula>
    </cfRule>
  </conditionalFormatting>
  <conditionalFormatting sqref="R654">
    <cfRule type="cellIs" dxfId="44" priority="483" stopIfTrue="1" operator="greaterThan">
      <formula>P$12</formula>
    </cfRule>
  </conditionalFormatting>
  <conditionalFormatting sqref="R664">
    <cfRule type="cellIs" dxfId="43" priority="482" stopIfTrue="1" operator="greaterThan">
      <formula>P$12</formula>
    </cfRule>
  </conditionalFormatting>
  <conditionalFormatting sqref="R674">
    <cfRule type="cellIs" dxfId="42" priority="481" stopIfTrue="1" operator="greaterThan">
      <formula>P$12</formula>
    </cfRule>
  </conditionalFormatting>
  <conditionalFormatting sqref="R684">
    <cfRule type="cellIs" dxfId="41" priority="480" stopIfTrue="1" operator="greaterThan">
      <formula>P$12</formula>
    </cfRule>
  </conditionalFormatting>
  <conditionalFormatting sqref="R694">
    <cfRule type="cellIs" dxfId="40" priority="479" stopIfTrue="1" operator="greaterThan">
      <formula>P$12</formula>
    </cfRule>
  </conditionalFormatting>
  <conditionalFormatting sqref="R704">
    <cfRule type="cellIs" dxfId="39" priority="478" stopIfTrue="1" operator="greaterThan">
      <formula>P$12</formula>
    </cfRule>
  </conditionalFormatting>
  <conditionalFormatting sqref="R714">
    <cfRule type="cellIs" dxfId="38" priority="477" stopIfTrue="1" operator="greaterThan">
      <formula>P$12</formula>
    </cfRule>
  </conditionalFormatting>
  <conditionalFormatting sqref="R724">
    <cfRule type="cellIs" dxfId="37" priority="476" stopIfTrue="1" operator="greaterThan">
      <formula>P$12</formula>
    </cfRule>
  </conditionalFormatting>
  <conditionalFormatting sqref="R734">
    <cfRule type="cellIs" dxfId="36" priority="475" stopIfTrue="1" operator="greaterThan">
      <formula>P$12</formula>
    </cfRule>
  </conditionalFormatting>
  <conditionalFormatting sqref="R744">
    <cfRule type="cellIs" dxfId="35" priority="474" stopIfTrue="1" operator="greaterThan">
      <formula>P$12</formula>
    </cfRule>
  </conditionalFormatting>
  <conditionalFormatting sqref="R754">
    <cfRule type="cellIs" dxfId="34" priority="473" stopIfTrue="1" operator="greaterThan">
      <formula>P$12</formula>
    </cfRule>
  </conditionalFormatting>
  <conditionalFormatting sqref="R764">
    <cfRule type="cellIs" dxfId="33" priority="472" stopIfTrue="1" operator="greaterThan">
      <formula>P$12</formula>
    </cfRule>
  </conditionalFormatting>
  <conditionalFormatting sqref="R774">
    <cfRule type="cellIs" dxfId="32" priority="471" stopIfTrue="1" operator="greaterThan">
      <formula>P$12</formula>
    </cfRule>
  </conditionalFormatting>
  <conditionalFormatting sqref="R784">
    <cfRule type="cellIs" dxfId="31" priority="470" stopIfTrue="1" operator="greaterThan">
      <formula>P$12</formula>
    </cfRule>
  </conditionalFormatting>
  <conditionalFormatting sqref="R794">
    <cfRule type="cellIs" dxfId="30" priority="469" stopIfTrue="1" operator="greaterThan">
      <formula>P$12</formula>
    </cfRule>
  </conditionalFormatting>
  <conditionalFormatting sqref="R804">
    <cfRule type="cellIs" dxfId="29" priority="468" stopIfTrue="1" operator="greaterThan">
      <formula>P$12</formula>
    </cfRule>
  </conditionalFormatting>
  <conditionalFormatting sqref="R814">
    <cfRule type="cellIs" dxfId="28" priority="467" stopIfTrue="1" operator="greaterThan">
      <formula>P$12</formula>
    </cfRule>
  </conditionalFormatting>
  <conditionalFormatting sqref="R824">
    <cfRule type="cellIs" dxfId="27" priority="466" stopIfTrue="1" operator="greaterThan">
      <formula>P$12</formula>
    </cfRule>
  </conditionalFormatting>
  <conditionalFormatting sqref="R834">
    <cfRule type="cellIs" dxfId="26" priority="465" stopIfTrue="1" operator="greaterThan">
      <formula>P$12</formula>
    </cfRule>
  </conditionalFormatting>
  <conditionalFormatting sqref="R844">
    <cfRule type="cellIs" dxfId="25" priority="464" stopIfTrue="1" operator="greaterThan">
      <formula>P$12</formula>
    </cfRule>
  </conditionalFormatting>
  <conditionalFormatting sqref="R854">
    <cfRule type="cellIs" dxfId="24" priority="463" stopIfTrue="1" operator="greaterThan">
      <formula>P$12</formula>
    </cfRule>
  </conditionalFormatting>
  <conditionalFormatting sqref="R864">
    <cfRule type="cellIs" dxfId="23" priority="462" stopIfTrue="1" operator="greaterThan">
      <formula>P$12</formula>
    </cfRule>
  </conditionalFormatting>
  <conditionalFormatting sqref="R874">
    <cfRule type="cellIs" dxfId="22" priority="461" stopIfTrue="1" operator="greaterThan">
      <formula>P$12</formula>
    </cfRule>
  </conditionalFormatting>
  <conditionalFormatting sqref="R884">
    <cfRule type="cellIs" dxfId="21" priority="460" stopIfTrue="1" operator="greaterThan">
      <formula>P$12</formula>
    </cfRule>
  </conditionalFormatting>
  <conditionalFormatting sqref="R894">
    <cfRule type="cellIs" dxfId="20" priority="459" stopIfTrue="1" operator="greaterThan">
      <formula>P$12</formula>
    </cfRule>
  </conditionalFormatting>
  <conditionalFormatting sqref="R904">
    <cfRule type="cellIs" dxfId="19" priority="458" stopIfTrue="1" operator="greaterThan">
      <formula>P$12</formula>
    </cfRule>
  </conditionalFormatting>
  <conditionalFormatting sqref="R914">
    <cfRule type="cellIs" dxfId="18" priority="457" stopIfTrue="1" operator="greaterThan">
      <formula>P$12</formula>
    </cfRule>
  </conditionalFormatting>
  <conditionalFormatting sqref="R924">
    <cfRule type="cellIs" dxfId="17" priority="456" stopIfTrue="1" operator="greaterThan">
      <formula>P$12</formula>
    </cfRule>
  </conditionalFormatting>
  <conditionalFormatting sqref="R934">
    <cfRule type="cellIs" dxfId="16" priority="455" stopIfTrue="1" operator="greaterThan">
      <formula>P$12</formula>
    </cfRule>
  </conditionalFormatting>
  <conditionalFormatting sqref="R944">
    <cfRule type="cellIs" dxfId="15" priority="454" stopIfTrue="1" operator="greaterThan">
      <formula>P$12</formula>
    </cfRule>
  </conditionalFormatting>
  <conditionalFormatting sqref="R954">
    <cfRule type="cellIs" dxfId="14" priority="453" stopIfTrue="1" operator="greaterThan">
      <formula>P$12</formula>
    </cfRule>
  </conditionalFormatting>
  <conditionalFormatting sqref="R964">
    <cfRule type="cellIs" dxfId="13" priority="452" stopIfTrue="1" operator="greaterThan">
      <formula>P$12</formula>
    </cfRule>
  </conditionalFormatting>
  <conditionalFormatting sqref="R974">
    <cfRule type="cellIs" dxfId="12" priority="451" stopIfTrue="1" operator="greaterThan">
      <formula>P$12</formula>
    </cfRule>
  </conditionalFormatting>
  <conditionalFormatting sqref="R984">
    <cfRule type="cellIs" dxfId="11" priority="450" stopIfTrue="1" operator="greaterThan">
      <formula>P$12</formula>
    </cfRule>
  </conditionalFormatting>
  <conditionalFormatting sqref="R994">
    <cfRule type="cellIs" dxfId="10" priority="449" stopIfTrue="1" operator="greaterThan">
      <formula>P$12</formula>
    </cfRule>
  </conditionalFormatting>
  <conditionalFormatting sqref="AQ1:AT5 AT6:AT8 AQ6:AR9 AQ10:AT1048576">
    <cfRule type="cellIs" dxfId="9" priority="438" operator="greaterThan">
      <formula>0</formula>
    </cfRule>
    <cfRule type="cellIs" dxfId="8" priority="437" operator="lessThan">
      <formula>0</formula>
    </cfRule>
  </conditionalFormatting>
  <conditionalFormatting sqref="AZ9:BC41">
    <cfRule type="cellIs" dxfId="7" priority="439" operator="lessThan">
      <formula>0</formula>
    </cfRule>
    <cfRule type="cellIs" dxfId="6" priority="444" operator="greaterThan">
      <formula>0</formula>
    </cfRule>
    <cfRule type="cellIs" dxfId="5" priority="446" operator="greaterThan">
      <formula>"0$AQ$19"</formula>
    </cfRule>
  </conditionalFormatting>
  <conditionalFormatting sqref="BA9">
    <cfRule type="cellIs" dxfId="4" priority="445" operator="greaterThan">
      <formula>0</formula>
    </cfRule>
  </conditionalFormatting>
  <conditionalFormatting sqref="BH9:BK41">
    <cfRule type="cellIs" dxfId="3" priority="443" operator="greaterThan">
      <formula>0</formula>
    </cfRule>
    <cfRule type="cellIs" dxfId="2" priority="440" operator="lessThan">
      <formula>0</formula>
    </cfRule>
  </conditionalFormatting>
  <conditionalFormatting sqref="BP9:BS41">
    <cfRule type="cellIs" dxfId="1" priority="441" operator="lessThan">
      <formula>0</formula>
    </cfRule>
    <cfRule type="cellIs" dxfId="0" priority="442" operator="greaterThan">
      <formula>0</formula>
    </cfRule>
  </conditionalFormatting>
  <pageMargins left="0.5" right="0.5" top="0.75" bottom="0.75" header="0.27777800000000002" footer="0.27777800000000002"/>
  <pageSetup scale="72" orientation="portrait"/>
  <headerFooter>
    <oddFooter>&amp;C&amp;"Helvetica Neue,Regular"&amp;12&amp;K000000&amp;P</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7174" r:id="rId3" name="Button 6">
              <controlPr defaultSize="0" print="0" autoFill="0" autoPict="0" macro="[1]!SucheUndGeheZuZelle">
                <anchor moveWithCells="1" sizeWithCells="1">
                  <from>
                    <xdr:col>45</xdr:col>
                    <xdr:colOff>635000</xdr:colOff>
                    <xdr:row>7</xdr:row>
                    <xdr:rowOff>63500</xdr:rowOff>
                  </from>
                  <to>
                    <xdr:col>47</xdr:col>
                    <xdr:colOff>508000</xdr:colOff>
                    <xdr:row>7</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435" stopIfTrue="1" operator="containsText" id="{BD366A86-EC81-A94B-85FE-DEA6052FF697}">
            <xm:f>NOT(ISERROR(SEARCH("-",M11)))</xm:f>
            <xm:f>"-"</xm:f>
            <x14:dxf/>
          </x14:cfRule>
          <xm:sqref>M11</xm:sqref>
        </x14:conditionalFormatting>
        <x14:conditionalFormatting xmlns:xm="http://schemas.microsoft.com/office/excel/2006/main">
          <x14:cfRule type="containsText" priority="436" stopIfTrue="1" operator="containsText" id="{2F946807-604F-BB47-9F2E-8449BF608AD8}">
            <xm:f>NOT(ISERROR(SEARCH("-",M13)))</xm:f>
            <xm:f>"-"</xm:f>
            <x14:dxf/>
          </x14:cfRule>
          <xm:sqref>M13</xm:sqref>
        </x14:conditionalFormatting>
        <x14:conditionalFormatting xmlns:xm="http://schemas.microsoft.com/office/excel/2006/main">
          <x14:cfRule type="containsText" priority="434" stopIfTrue="1" operator="containsText" id="{390E8D9D-4267-DA40-8E09-030C04AC17F0}">
            <xm:f>NOT(ISERROR(SEARCH("-",M15)))</xm:f>
            <xm:f>"-"</xm:f>
            <x14:dxf/>
          </x14:cfRule>
          <xm:sqref>M15</xm:sqref>
        </x14:conditionalFormatting>
        <x14:conditionalFormatting xmlns:xm="http://schemas.microsoft.com/office/excel/2006/main">
          <x14:cfRule type="containsText" priority="433" stopIfTrue="1" operator="containsText" id="{42A9D080-3CDE-854A-B275-8155A50305B8}">
            <xm:f>NOT(ISERROR(SEARCH("-",M17)))</xm:f>
            <xm:f>"-"</xm:f>
            <x14:dxf/>
          </x14:cfRule>
          <xm:sqref>M17</xm:sqref>
        </x14:conditionalFormatting>
        <x14:conditionalFormatting xmlns:xm="http://schemas.microsoft.com/office/excel/2006/main">
          <x14:cfRule type="containsText" priority="431" stopIfTrue="1" operator="containsText" id="{DE9C2B21-3A3C-2546-B08E-AB29816309A3}">
            <xm:f>NOT(ISERROR(SEARCH("-",M21)))</xm:f>
            <xm:f>"-"</xm:f>
            <x14:dxf/>
          </x14:cfRule>
          <xm:sqref>M21</xm:sqref>
        </x14:conditionalFormatting>
        <x14:conditionalFormatting xmlns:xm="http://schemas.microsoft.com/office/excel/2006/main">
          <x14:cfRule type="containsText" priority="432" stopIfTrue="1" operator="containsText" id="{5ECB2E00-C66E-F04E-BEEC-B7424DF46F70}">
            <xm:f>NOT(ISERROR(SEARCH("-",M23)))</xm:f>
            <xm:f>"-"</xm:f>
            <x14:dxf/>
          </x14:cfRule>
          <xm:sqref>M23</xm:sqref>
        </x14:conditionalFormatting>
        <x14:conditionalFormatting xmlns:xm="http://schemas.microsoft.com/office/excel/2006/main">
          <x14:cfRule type="containsText" priority="430" stopIfTrue="1" operator="containsText" id="{691EACBC-9561-3B45-B89B-0818E23569EE}">
            <xm:f>NOT(ISERROR(SEARCH("-",M25)))</xm:f>
            <xm:f>"-"</xm:f>
            <x14:dxf/>
          </x14:cfRule>
          <xm:sqref>M25</xm:sqref>
        </x14:conditionalFormatting>
        <x14:conditionalFormatting xmlns:xm="http://schemas.microsoft.com/office/excel/2006/main">
          <x14:cfRule type="containsText" priority="429" stopIfTrue="1" operator="containsText" id="{50BEB341-649B-8B40-91E5-6F446916E557}">
            <xm:f>NOT(ISERROR(SEARCH("-",M27)))</xm:f>
            <xm:f>"-"</xm:f>
            <x14:dxf/>
          </x14:cfRule>
          <xm:sqref>M27</xm:sqref>
        </x14:conditionalFormatting>
        <x14:conditionalFormatting xmlns:xm="http://schemas.microsoft.com/office/excel/2006/main">
          <x14:cfRule type="containsText" priority="427" stopIfTrue="1" operator="containsText" id="{FA5D1EA1-03C0-BB4D-9B33-34AE51E9A1A9}">
            <xm:f>NOT(ISERROR(SEARCH("-",M31)))</xm:f>
            <xm:f>"-"</xm:f>
            <x14:dxf/>
          </x14:cfRule>
          <xm:sqref>M31</xm:sqref>
        </x14:conditionalFormatting>
        <x14:conditionalFormatting xmlns:xm="http://schemas.microsoft.com/office/excel/2006/main">
          <x14:cfRule type="containsText" priority="428" stopIfTrue="1" operator="containsText" id="{63B33BF8-C9F4-F44F-9BC0-6B17E8FBD696}">
            <xm:f>NOT(ISERROR(SEARCH("-",M33)))</xm:f>
            <xm:f>"-"</xm:f>
            <x14:dxf/>
          </x14:cfRule>
          <xm:sqref>M33</xm:sqref>
        </x14:conditionalFormatting>
        <x14:conditionalFormatting xmlns:xm="http://schemas.microsoft.com/office/excel/2006/main">
          <x14:cfRule type="containsText" priority="426" stopIfTrue="1" operator="containsText" id="{18D09DC7-126B-7E40-90CB-CA084156F066}">
            <xm:f>NOT(ISERROR(SEARCH("-",M35)))</xm:f>
            <xm:f>"-"</xm:f>
            <x14:dxf/>
          </x14:cfRule>
          <xm:sqref>M35</xm:sqref>
        </x14:conditionalFormatting>
        <x14:conditionalFormatting xmlns:xm="http://schemas.microsoft.com/office/excel/2006/main">
          <x14:cfRule type="containsText" priority="425" stopIfTrue="1" operator="containsText" id="{572DD5AA-BE97-9E4D-BD5E-82B0D0E74C5F}">
            <xm:f>NOT(ISERROR(SEARCH("-",M37)))</xm:f>
            <xm:f>"-"</xm:f>
            <x14:dxf/>
          </x14:cfRule>
          <xm:sqref>M37</xm:sqref>
        </x14:conditionalFormatting>
        <x14:conditionalFormatting xmlns:xm="http://schemas.microsoft.com/office/excel/2006/main">
          <x14:cfRule type="containsText" priority="423" stopIfTrue="1" operator="containsText" id="{70207B16-531D-8143-813E-B9746DD109C1}">
            <xm:f>NOT(ISERROR(SEARCH("-",M41)))</xm:f>
            <xm:f>"-"</xm:f>
            <x14:dxf/>
          </x14:cfRule>
          <xm:sqref>M41</xm:sqref>
        </x14:conditionalFormatting>
        <x14:conditionalFormatting xmlns:xm="http://schemas.microsoft.com/office/excel/2006/main">
          <x14:cfRule type="containsText" priority="424" stopIfTrue="1" operator="containsText" id="{DE158402-CAD4-114C-8D5A-D8A28E289975}">
            <xm:f>NOT(ISERROR(SEARCH("-",M43)))</xm:f>
            <xm:f>"-"</xm:f>
            <x14:dxf/>
          </x14:cfRule>
          <xm:sqref>M43</xm:sqref>
        </x14:conditionalFormatting>
        <x14:conditionalFormatting xmlns:xm="http://schemas.microsoft.com/office/excel/2006/main">
          <x14:cfRule type="containsText" priority="422" stopIfTrue="1" operator="containsText" id="{56F29473-759F-214D-AB84-C8F7966F9CCE}">
            <xm:f>NOT(ISERROR(SEARCH("-",M45)))</xm:f>
            <xm:f>"-"</xm:f>
            <x14:dxf/>
          </x14:cfRule>
          <xm:sqref>M45</xm:sqref>
        </x14:conditionalFormatting>
        <x14:conditionalFormatting xmlns:xm="http://schemas.microsoft.com/office/excel/2006/main">
          <x14:cfRule type="containsText" priority="421" stopIfTrue="1" operator="containsText" id="{5C29438E-6CA6-AD41-A655-8D83845660DD}">
            <xm:f>NOT(ISERROR(SEARCH("-",M47)))</xm:f>
            <xm:f>"-"</xm:f>
            <x14:dxf/>
          </x14:cfRule>
          <xm:sqref>M47</xm:sqref>
        </x14:conditionalFormatting>
        <x14:conditionalFormatting xmlns:xm="http://schemas.microsoft.com/office/excel/2006/main">
          <x14:cfRule type="containsText" priority="419" stopIfTrue="1" operator="containsText" id="{4114A978-F5BA-BE44-BD46-6CF9C2F7324C}">
            <xm:f>NOT(ISERROR(SEARCH("-",M51)))</xm:f>
            <xm:f>"-"</xm:f>
            <x14:dxf/>
          </x14:cfRule>
          <xm:sqref>M51</xm:sqref>
        </x14:conditionalFormatting>
        <x14:conditionalFormatting xmlns:xm="http://schemas.microsoft.com/office/excel/2006/main">
          <x14:cfRule type="containsText" priority="420" stopIfTrue="1" operator="containsText" id="{B005C9A0-CEFC-C74E-98AC-38242F1F9C5D}">
            <xm:f>NOT(ISERROR(SEARCH("-",M53)))</xm:f>
            <xm:f>"-"</xm:f>
            <x14:dxf/>
          </x14:cfRule>
          <xm:sqref>M53</xm:sqref>
        </x14:conditionalFormatting>
        <x14:conditionalFormatting xmlns:xm="http://schemas.microsoft.com/office/excel/2006/main">
          <x14:cfRule type="containsText" priority="418" stopIfTrue="1" operator="containsText" id="{BD56F9C2-E764-9B42-81FB-841E0DD8FDF7}">
            <xm:f>NOT(ISERROR(SEARCH("-",M55)))</xm:f>
            <xm:f>"-"</xm:f>
            <x14:dxf/>
          </x14:cfRule>
          <xm:sqref>M55</xm:sqref>
        </x14:conditionalFormatting>
        <x14:conditionalFormatting xmlns:xm="http://schemas.microsoft.com/office/excel/2006/main">
          <x14:cfRule type="containsText" priority="417" stopIfTrue="1" operator="containsText" id="{69C70EA4-374E-3C49-8905-89875E271AEB}">
            <xm:f>NOT(ISERROR(SEARCH("-",M57)))</xm:f>
            <xm:f>"-"</xm:f>
            <x14:dxf/>
          </x14:cfRule>
          <xm:sqref>M57</xm:sqref>
        </x14:conditionalFormatting>
        <x14:conditionalFormatting xmlns:xm="http://schemas.microsoft.com/office/excel/2006/main">
          <x14:cfRule type="containsText" priority="415" stopIfTrue="1" operator="containsText" id="{23FDEF34-1E83-C84E-ACEF-351436EE85A9}">
            <xm:f>NOT(ISERROR(SEARCH("-",M61)))</xm:f>
            <xm:f>"-"</xm:f>
            <x14:dxf/>
          </x14:cfRule>
          <xm:sqref>M61</xm:sqref>
        </x14:conditionalFormatting>
        <x14:conditionalFormatting xmlns:xm="http://schemas.microsoft.com/office/excel/2006/main">
          <x14:cfRule type="containsText" priority="416" stopIfTrue="1" operator="containsText" id="{C60AD237-07F2-7143-8627-070C391817DF}">
            <xm:f>NOT(ISERROR(SEARCH("-",M63)))</xm:f>
            <xm:f>"-"</xm:f>
            <x14:dxf/>
          </x14:cfRule>
          <xm:sqref>M63</xm:sqref>
        </x14:conditionalFormatting>
        <x14:conditionalFormatting xmlns:xm="http://schemas.microsoft.com/office/excel/2006/main">
          <x14:cfRule type="containsText" priority="414" stopIfTrue="1" operator="containsText" id="{5C3ACDF4-307D-9940-B48C-0B0FC02DBC82}">
            <xm:f>NOT(ISERROR(SEARCH("-",M65)))</xm:f>
            <xm:f>"-"</xm:f>
            <x14:dxf/>
          </x14:cfRule>
          <xm:sqref>M65</xm:sqref>
        </x14:conditionalFormatting>
        <x14:conditionalFormatting xmlns:xm="http://schemas.microsoft.com/office/excel/2006/main">
          <x14:cfRule type="containsText" priority="413" stopIfTrue="1" operator="containsText" id="{1D3B7ECA-66D9-E540-8657-EF0F2E5022B7}">
            <xm:f>NOT(ISERROR(SEARCH("-",M67)))</xm:f>
            <xm:f>"-"</xm:f>
            <x14:dxf/>
          </x14:cfRule>
          <xm:sqref>M67</xm:sqref>
        </x14:conditionalFormatting>
        <x14:conditionalFormatting xmlns:xm="http://schemas.microsoft.com/office/excel/2006/main">
          <x14:cfRule type="containsText" priority="411" stopIfTrue="1" operator="containsText" id="{E261D082-EC71-B34B-AF71-B6F4EAE49018}">
            <xm:f>NOT(ISERROR(SEARCH("-",M71)))</xm:f>
            <xm:f>"-"</xm:f>
            <x14:dxf/>
          </x14:cfRule>
          <xm:sqref>M71</xm:sqref>
        </x14:conditionalFormatting>
        <x14:conditionalFormatting xmlns:xm="http://schemas.microsoft.com/office/excel/2006/main">
          <x14:cfRule type="containsText" priority="412" stopIfTrue="1" operator="containsText" id="{D6636B8E-3198-F24B-A205-B25D23B32D73}">
            <xm:f>NOT(ISERROR(SEARCH("-",M73)))</xm:f>
            <xm:f>"-"</xm:f>
            <x14:dxf/>
          </x14:cfRule>
          <xm:sqref>M73</xm:sqref>
        </x14:conditionalFormatting>
        <x14:conditionalFormatting xmlns:xm="http://schemas.microsoft.com/office/excel/2006/main">
          <x14:cfRule type="containsText" priority="410" stopIfTrue="1" operator="containsText" id="{C2278012-228D-2D40-9CE9-9BD8D0056F93}">
            <xm:f>NOT(ISERROR(SEARCH("-",M75)))</xm:f>
            <xm:f>"-"</xm:f>
            <x14:dxf/>
          </x14:cfRule>
          <xm:sqref>M75</xm:sqref>
        </x14:conditionalFormatting>
        <x14:conditionalFormatting xmlns:xm="http://schemas.microsoft.com/office/excel/2006/main">
          <x14:cfRule type="containsText" priority="409" stopIfTrue="1" operator="containsText" id="{3F11BA91-C3E9-0643-824D-DEC38B13173E}">
            <xm:f>NOT(ISERROR(SEARCH("-",M77)))</xm:f>
            <xm:f>"-"</xm:f>
            <x14:dxf/>
          </x14:cfRule>
          <xm:sqref>M77</xm:sqref>
        </x14:conditionalFormatting>
        <x14:conditionalFormatting xmlns:xm="http://schemas.microsoft.com/office/excel/2006/main">
          <x14:cfRule type="containsText" priority="407" stopIfTrue="1" operator="containsText" id="{F5AAA117-8ED2-BC43-BEED-83C4108EAC7D}">
            <xm:f>NOT(ISERROR(SEARCH("-",M81)))</xm:f>
            <xm:f>"-"</xm:f>
            <x14:dxf/>
          </x14:cfRule>
          <xm:sqref>M81</xm:sqref>
        </x14:conditionalFormatting>
        <x14:conditionalFormatting xmlns:xm="http://schemas.microsoft.com/office/excel/2006/main">
          <x14:cfRule type="containsText" priority="408" stopIfTrue="1" operator="containsText" id="{3BBFE191-42C5-DC45-843C-263650DCD544}">
            <xm:f>NOT(ISERROR(SEARCH("-",M83)))</xm:f>
            <xm:f>"-"</xm:f>
            <x14:dxf/>
          </x14:cfRule>
          <xm:sqref>M83</xm:sqref>
        </x14:conditionalFormatting>
        <x14:conditionalFormatting xmlns:xm="http://schemas.microsoft.com/office/excel/2006/main">
          <x14:cfRule type="containsText" priority="406" stopIfTrue="1" operator="containsText" id="{10C66867-2D98-8C48-830F-D7E7BDCA5F00}">
            <xm:f>NOT(ISERROR(SEARCH("-",M85)))</xm:f>
            <xm:f>"-"</xm:f>
            <x14:dxf/>
          </x14:cfRule>
          <xm:sqref>M85</xm:sqref>
        </x14:conditionalFormatting>
        <x14:conditionalFormatting xmlns:xm="http://schemas.microsoft.com/office/excel/2006/main">
          <x14:cfRule type="containsText" priority="405" stopIfTrue="1" operator="containsText" id="{A36380B1-B32A-3241-81DC-B95BD394EB37}">
            <xm:f>NOT(ISERROR(SEARCH("-",M87)))</xm:f>
            <xm:f>"-"</xm:f>
            <x14:dxf/>
          </x14:cfRule>
          <xm:sqref>M87</xm:sqref>
        </x14:conditionalFormatting>
        <x14:conditionalFormatting xmlns:xm="http://schemas.microsoft.com/office/excel/2006/main">
          <x14:cfRule type="containsText" priority="403" stopIfTrue="1" operator="containsText" id="{901D9837-2297-3C4C-875F-113B97F32B92}">
            <xm:f>NOT(ISERROR(SEARCH("-",M91)))</xm:f>
            <xm:f>"-"</xm:f>
            <x14:dxf/>
          </x14:cfRule>
          <xm:sqref>M91</xm:sqref>
        </x14:conditionalFormatting>
        <x14:conditionalFormatting xmlns:xm="http://schemas.microsoft.com/office/excel/2006/main">
          <x14:cfRule type="containsText" priority="404" stopIfTrue="1" operator="containsText" id="{919B6910-60B4-3C4A-8D3D-8F228B658F94}">
            <xm:f>NOT(ISERROR(SEARCH("-",M93)))</xm:f>
            <xm:f>"-"</xm:f>
            <x14:dxf/>
          </x14:cfRule>
          <xm:sqref>M93</xm:sqref>
        </x14:conditionalFormatting>
        <x14:conditionalFormatting xmlns:xm="http://schemas.microsoft.com/office/excel/2006/main">
          <x14:cfRule type="containsText" priority="402" stopIfTrue="1" operator="containsText" id="{8BDECB10-C9F0-8E44-A13C-CF35A4499D82}">
            <xm:f>NOT(ISERROR(SEARCH("-",M95)))</xm:f>
            <xm:f>"-"</xm:f>
            <x14:dxf/>
          </x14:cfRule>
          <xm:sqref>M95</xm:sqref>
        </x14:conditionalFormatting>
        <x14:conditionalFormatting xmlns:xm="http://schemas.microsoft.com/office/excel/2006/main">
          <x14:cfRule type="containsText" priority="401" stopIfTrue="1" operator="containsText" id="{6EBC3A70-0010-0F43-B278-95C78AFEC1E2}">
            <xm:f>NOT(ISERROR(SEARCH("-",M97)))</xm:f>
            <xm:f>"-"</xm:f>
            <x14:dxf/>
          </x14:cfRule>
          <xm:sqref>M97</xm:sqref>
        </x14:conditionalFormatting>
        <x14:conditionalFormatting xmlns:xm="http://schemas.microsoft.com/office/excel/2006/main">
          <x14:cfRule type="containsText" priority="399" stopIfTrue="1" operator="containsText" id="{5683AF92-71D0-0845-9D3E-14D2FF7FEB0C}">
            <xm:f>NOT(ISERROR(SEARCH("-",M101)))</xm:f>
            <xm:f>"-"</xm:f>
            <x14:dxf/>
          </x14:cfRule>
          <xm:sqref>M101</xm:sqref>
        </x14:conditionalFormatting>
        <x14:conditionalFormatting xmlns:xm="http://schemas.microsoft.com/office/excel/2006/main">
          <x14:cfRule type="containsText" priority="400" stopIfTrue="1" operator="containsText" id="{11C0187F-78E0-2E4C-8FE3-E0C73B133208}">
            <xm:f>NOT(ISERROR(SEARCH("-",M103)))</xm:f>
            <xm:f>"-"</xm:f>
            <x14:dxf/>
          </x14:cfRule>
          <xm:sqref>M103</xm:sqref>
        </x14:conditionalFormatting>
        <x14:conditionalFormatting xmlns:xm="http://schemas.microsoft.com/office/excel/2006/main">
          <x14:cfRule type="containsText" priority="398" stopIfTrue="1" operator="containsText" id="{25E286FC-0168-0146-B804-9BE707C6421D}">
            <xm:f>NOT(ISERROR(SEARCH("-",M105)))</xm:f>
            <xm:f>"-"</xm:f>
            <x14:dxf/>
          </x14:cfRule>
          <xm:sqref>M105</xm:sqref>
        </x14:conditionalFormatting>
        <x14:conditionalFormatting xmlns:xm="http://schemas.microsoft.com/office/excel/2006/main">
          <x14:cfRule type="containsText" priority="397" stopIfTrue="1" operator="containsText" id="{F2FECDF9-3C3A-4047-8A11-0F3C2BA63338}">
            <xm:f>NOT(ISERROR(SEARCH("-",M107)))</xm:f>
            <xm:f>"-"</xm:f>
            <x14:dxf/>
          </x14:cfRule>
          <xm:sqref>M107</xm:sqref>
        </x14:conditionalFormatting>
        <x14:conditionalFormatting xmlns:xm="http://schemas.microsoft.com/office/excel/2006/main">
          <x14:cfRule type="containsText" priority="395" stopIfTrue="1" operator="containsText" id="{24C2ABBC-C087-CD49-BEEF-EEA0306E948D}">
            <xm:f>NOT(ISERROR(SEARCH("-",M111)))</xm:f>
            <xm:f>"-"</xm:f>
            <x14:dxf/>
          </x14:cfRule>
          <xm:sqref>M111</xm:sqref>
        </x14:conditionalFormatting>
        <x14:conditionalFormatting xmlns:xm="http://schemas.microsoft.com/office/excel/2006/main">
          <x14:cfRule type="containsText" priority="396" stopIfTrue="1" operator="containsText" id="{1F873C74-3530-B14A-9C0C-C4DF222E96DF}">
            <xm:f>NOT(ISERROR(SEARCH("-",M113)))</xm:f>
            <xm:f>"-"</xm:f>
            <x14:dxf/>
          </x14:cfRule>
          <xm:sqref>M113</xm:sqref>
        </x14:conditionalFormatting>
        <x14:conditionalFormatting xmlns:xm="http://schemas.microsoft.com/office/excel/2006/main">
          <x14:cfRule type="containsText" priority="394" stopIfTrue="1" operator="containsText" id="{AD0D07F9-D231-CB49-A327-4677092D94D6}">
            <xm:f>NOT(ISERROR(SEARCH("-",M115)))</xm:f>
            <xm:f>"-"</xm:f>
            <x14:dxf/>
          </x14:cfRule>
          <xm:sqref>M115</xm:sqref>
        </x14:conditionalFormatting>
        <x14:conditionalFormatting xmlns:xm="http://schemas.microsoft.com/office/excel/2006/main">
          <x14:cfRule type="containsText" priority="393" stopIfTrue="1" operator="containsText" id="{10B5ACB7-4CE5-8849-A8C8-8F39144AF19A}">
            <xm:f>NOT(ISERROR(SEARCH("-",M117)))</xm:f>
            <xm:f>"-"</xm:f>
            <x14:dxf/>
          </x14:cfRule>
          <xm:sqref>M117</xm:sqref>
        </x14:conditionalFormatting>
        <x14:conditionalFormatting xmlns:xm="http://schemas.microsoft.com/office/excel/2006/main">
          <x14:cfRule type="containsText" priority="391" stopIfTrue="1" operator="containsText" id="{03B2FD0D-1A76-ED43-9FD3-532986CC543C}">
            <xm:f>NOT(ISERROR(SEARCH("-",M121)))</xm:f>
            <xm:f>"-"</xm:f>
            <x14:dxf/>
          </x14:cfRule>
          <xm:sqref>M121</xm:sqref>
        </x14:conditionalFormatting>
        <x14:conditionalFormatting xmlns:xm="http://schemas.microsoft.com/office/excel/2006/main">
          <x14:cfRule type="containsText" priority="392" stopIfTrue="1" operator="containsText" id="{010BC0D0-86C8-9545-9BAE-51EE7A089409}">
            <xm:f>NOT(ISERROR(SEARCH("-",M123)))</xm:f>
            <xm:f>"-"</xm:f>
            <x14:dxf/>
          </x14:cfRule>
          <xm:sqref>M123</xm:sqref>
        </x14:conditionalFormatting>
        <x14:conditionalFormatting xmlns:xm="http://schemas.microsoft.com/office/excel/2006/main">
          <x14:cfRule type="containsText" priority="390" stopIfTrue="1" operator="containsText" id="{ABE2182F-D913-4E4F-A8F8-2EA7FF4D28D1}">
            <xm:f>NOT(ISERROR(SEARCH("-",M125)))</xm:f>
            <xm:f>"-"</xm:f>
            <x14:dxf/>
          </x14:cfRule>
          <xm:sqref>M125</xm:sqref>
        </x14:conditionalFormatting>
        <x14:conditionalFormatting xmlns:xm="http://schemas.microsoft.com/office/excel/2006/main">
          <x14:cfRule type="containsText" priority="389" stopIfTrue="1" operator="containsText" id="{81B4ED38-04DE-D54E-8055-FBAFFE9CD638}">
            <xm:f>NOT(ISERROR(SEARCH("-",M127)))</xm:f>
            <xm:f>"-"</xm:f>
            <x14:dxf/>
          </x14:cfRule>
          <xm:sqref>M127</xm:sqref>
        </x14:conditionalFormatting>
        <x14:conditionalFormatting xmlns:xm="http://schemas.microsoft.com/office/excel/2006/main">
          <x14:cfRule type="containsText" priority="387" stopIfTrue="1" operator="containsText" id="{F3BC7135-BA64-9248-A18E-BCB2A40E9E8B}">
            <xm:f>NOT(ISERROR(SEARCH("-",M131)))</xm:f>
            <xm:f>"-"</xm:f>
            <x14:dxf/>
          </x14:cfRule>
          <xm:sqref>M131</xm:sqref>
        </x14:conditionalFormatting>
        <x14:conditionalFormatting xmlns:xm="http://schemas.microsoft.com/office/excel/2006/main">
          <x14:cfRule type="containsText" priority="388" stopIfTrue="1" operator="containsText" id="{2CDFFAF3-A242-5140-8134-24523860150B}">
            <xm:f>NOT(ISERROR(SEARCH("-",M133)))</xm:f>
            <xm:f>"-"</xm:f>
            <x14:dxf/>
          </x14:cfRule>
          <xm:sqref>M133</xm:sqref>
        </x14:conditionalFormatting>
        <x14:conditionalFormatting xmlns:xm="http://schemas.microsoft.com/office/excel/2006/main">
          <x14:cfRule type="containsText" priority="386" stopIfTrue="1" operator="containsText" id="{6DC48951-A62B-0C4B-8205-1694FBE25227}">
            <xm:f>NOT(ISERROR(SEARCH("-",M135)))</xm:f>
            <xm:f>"-"</xm:f>
            <x14:dxf/>
          </x14:cfRule>
          <xm:sqref>M135</xm:sqref>
        </x14:conditionalFormatting>
        <x14:conditionalFormatting xmlns:xm="http://schemas.microsoft.com/office/excel/2006/main">
          <x14:cfRule type="containsText" priority="385" stopIfTrue="1" operator="containsText" id="{0C43D456-F3CC-3C4C-B307-07F684250986}">
            <xm:f>NOT(ISERROR(SEARCH("-",M137)))</xm:f>
            <xm:f>"-"</xm:f>
            <x14:dxf/>
          </x14:cfRule>
          <xm:sqref>M137</xm:sqref>
        </x14:conditionalFormatting>
        <x14:conditionalFormatting xmlns:xm="http://schemas.microsoft.com/office/excel/2006/main">
          <x14:cfRule type="containsText" priority="383" stopIfTrue="1" operator="containsText" id="{3998A23F-CBB6-6B42-A62C-C7BCBF9CB4B0}">
            <xm:f>NOT(ISERROR(SEARCH("-",M141)))</xm:f>
            <xm:f>"-"</xm:f>
            <x14:dxf/>
          </x14:cfRule>
          <xm:sqref>M141</xm:sqref>
        </x14:conditionalFormatting>
        <x14:conditionalFormatting xmlns:xm="http://schemas.microsoft.com/office/excel/2006/main">
          <x14:cfRule type="containsText" priority="384" stopIfTrue="1" operator="containsText" id="{6FDB1BBD-0AEE-A44D-83F9-43ED920E6500}">
            <xm:f>NOT(ISERROR(SEARCH("-",M143)))</xm:f>
            <xm:f>"-"</xm:f>
            <x14:dxf/>
          </x14:cfRule>
          <xm:sqref>M143</xm:sqref>
        </x14:conditionalFormatting>
        <x14:conditionalFormatting xmlns:xm="http://schemas.microsoft.com/office/excel/2006/main">
          <x14:cfRule type="containsText" priority="382" stopIfTrue="1" operator="containsText" id="{87FF4AFF-7CC9-7D4C-A19D-71F01E1492F9}">
            <xm:f>NOT(ISERROR(SEARCH("-",M145)))</xm:f>
            <xm:f>"-"</xm:f>
            <x14:dxf/>
          </x14:cfRule>
          <xm:sqref>M145</xm:sqref>
        </x14:conditionalFormatting>
        <x14:conditionalFormatting xmlns:xm="http://schemas.microsoft.com/office/excel/2006/main">
          <x14:cfRule type="containsText" priority="381" stopIfTrue="1" operator="containsText" id="{5D2EFE9A-DD84-A740-A180-52CF3B3C6A25}">
            <xm:f>NOT(ISERROR(SEARCH("-",M147)))</xm:f>
            <xm:f>"-"</xm:f>
            <x14:dxf/>
          </x14:cfRule>
          <xm:sqref>M147</xm:sqref>
        </x14:conditionalFormatting>
        <x14:conditionalFormatting xmlns:xm="http://schemas.microsoft.com/office/excel/2006/main">
          <x14:cfRule type="containsText" priority="379" stopIfTrue="1" operator="containsText" id="{13F78323-4AD8-6449-B79F-CA84C95F797D}">
            <xm:f>NOT(ISERROR(SEARCH("-",M151)))</xm:f>
            <xm:f>"-"</xm:f>
            <x14:dxf/>
          </x14:cfRule>
          <xm:sqref>M151</xm:sqref>
        </x14:conditionalFormatting>
        <x14:conditionalFormatting xmlns:xm="http://schemas.microsoft.com/office/excel/2006/main">
          <x14:cfRule type="containsText" priority="380" stopIfTrue="1" operator="containsText" id="{73A895ED-571B-254A-98A4-0B64FC33CFCA}">
            <xm:f>NOT(ISERROR(SEARCH("-",M153)))</xm:f>
            <xm:f>"-"</xm:f>
            <x14:dxf/>
          </x14:cfRule>
          <xm:sqref>M153</xm:sqref>
        </x14:conditionalFormatting>
        <x14:conditionalFormatting xmlns:xm="http://schemas.microsoft.com/office/excel/2006/main">
          <x14:cfRule type="containsText" priority="378" stopIfTrue="1" operator="containsText" id="{AF1A0E3A-2CD7-7E45-A02E-C7494F805358}">
            <xm:f>NOT(ISERROR(SEARCH("-",M155)))</xm:f>
            <xm:f>"-"</xm:f>
            <x14:dxf/>
          </x14:cfRule>
          <xm:sqref>M155</xm:sqref>
        </x14:conditionalFormatting>
        <x14:conditionalFormatting xmlns:xm="http://schemas.microsoft.com/office/excel/2006/main">
          <x14:cfRule type="containsText" priority="377" stopIfTrue="1" operator="containsText" id="{4AC2B17F-4483-A547-A761-C4926934F1DA}">
            <xm:f>NOT(ISERROR(SEARCH("-",M157)))</xm:f>
            <xm:f>"-"</xm:f>
            <x14:dxf/>
          </x14:cfRule>
          <xm:sqref>M157</xm:sqref>
        </x14:conditionalFormatting>
        <x14:conditionalFormatting xmlns:xm="http://schemas.microsoft.com/office/excel/2006/main">
          <x14:cfRule type="containsText" priority="375" stopIfTrue="1" operator="containsText" id="{89F12285-A127-764F-9763-C19EC8A8C40B}">
            <xm:f>NOT(ISERROR(SEARCH("-",M161)))</xm:f>
            <xm:f>"-"</xm:f>
            <x14:dxf/>
          </x14:cfRule>
          <xm:sqref>M161</xm:sqref>
        </x14:conditionalFormatting>
        <x14:conditionalFormatting xmlns:xm="http://schemas.microsoft.com/office/excel/2006/main">
          <x14:cfRule type="containsText" priority="376" stopIfTrue="1" operator="containsText" id="{D910D660-4E1E-014F-A0A4-157245876682}">
            <xm:f>NOT(ISERROR(SEARCH("-",M163)))</xm:f>
            <xm:f>"-"</xm:f>
            <x14:dxf/>
          </x14:cfRule>
          <xm:sqref>M163</xm:sqref>
        </x14:conditionalFormatting>
        <x14:conditionalFormatting xmlns:xm="http://schemas.microsoft.com/office/excel/2006/main">
          <x14:cfRule type="containsText" priority="374" stopIfTrue="1" operator="containsText" id="{90EEBDFC-A3C5-614C-9ADB-173491E6BC8D}">
            <xm:f>NOT(ISERROR(SEARCH("-",M165)))</xm:f>
            <xm:f>"-"</xm:f>
            <x14:dxf/>
          </x14:cfRule>
          <xm:sqref>M165</xm:sqref>
        </x14:conditionalFormatting>
        <x14:conditionalFormatting xmlns:xm="http://schemas.microsoft.com/office/excel/2006/main">
          <x14:cfRule type="containsText" priority="373" stopIfTrue="1" operator="containsText" id="{CF0BDA0F-7504-7C4D-B488-206221C140B5}">
            <xm:f>NOT(ISERROR(SEARCH("-",M167)))</xm:f>
            <xm:f>"-"</xm:f>
            <x14:dxf/>
          </x14:cfRule>
          <xm:sqref>M167</xm:sqref>
        </x14:conditionalFormatting>
        <x14:conditionalFormatting xmlns:xm="http://schemas.microsoft.com/office/excel/2006/main">
          <x14:cfRule type="containsText" priority="371" stopIfTrue="1" operator="containsText" id="{C1FB8790-C28E-8445-AA5B-5F16A3B9D769}">
            <xm:f>NOT(ISERROR(SEARCH("-",M171)))</xm:f>
            <xm:f>"-"</xm:f>
            <x14:dxf/>
          </x14:cfRule>
          <xm:sqref>M171</xm:sqref>
        </x14:conditionalFormatting>
        <x14:conditionalFormatting xmlns:xm="http://schemas.microsoft.com/office/excel/2006/main">
          <x14:cfRule type="containsText" priority="372" stopIfTrue="1" operator="containsText" id="{447ABB51-E39A-DC47-A547-D162C67FC660}">
            <xm:f>NOT(ISERROR(SEARCH("-",M173)))</xm:f>
            <xm:f>"-"</xm:f>
            <x14:dxf/>
          </x14:cfRule>
          <xm:sqref>M173</xm:sqref>
        </x14:conditionalFormatting>
        <x14:conditionalFormatting xmlns:xm="http://schemas.microsoft.com/office/excel/2006/main">
          <x14:cfRule type="containsText" priority="370" stopIfTrue="1" operator="containsText" id="{3E39F647-0D66-9244-AE5B-3BCF4E58B422}">
            <xm:f>NOT(ISERROR(SEARCH("-",M175)))</xm:f>
            <xm:f>"-"</xm:f>
            <x14:dxf/>
          </x14:cfRule>
          <xm:sqref>M175</xm:sqref>
        </x14:conditionalFormatting>
        <x14:conditionalFormatting xmlns:xm="http://schemas.microsoft.com/office/excel/2006/main">
          <x14:cfRule type="containsText" priority="369" stopIfTrue="1" operator="containsText" id="{838DBEEE-C6F1-6242-B2E4-59323928C821}">
            <xm:f>NOT(ISERROR(SEARCH("-",M177)))</xm:f>
            <xm:f>"-"</xm:f>
            <x14:dxf/>
          </x14:cfRule>
          <xm:sqref>M177</xm:sqref>
        </x14:conditionalFormatting>
        <x14:conditionalFormatting xmlns:xm="http://schemas.microsoft.com/office/excel/2006/main">
          <x14:cfRule type="containsText" priority="367" stopIfTrue="1" operator="containsText" id="{C62842BF-90D7-4547-A296-C95D947F4367}">
            <xm:f>NOT(ISERROR(SEARCH("-",M181)))</xm:f>
            <xm:f>"-"</xm:f>
            <x14:dxf/>
          </x14:cfRule>
          <xm:sqref>M181</xm:sqref>
        </x14:conditionalFormatting>
        <x14:conditionalFormatting xmlns:xm="http://schemas.microsoft.com/office/excel/2006/main">
          <x14:cfRule type="containsText" priority="368" stopIfTrue="1" operator="containsText" id="{49E71A38-986A-4146-A42C-EBE2F46CE3F1}">
            <xm:f>NOT(ISERROR(SEARCH("-",M183)))</xm:f>
            <xm:f>"-"</xm:f>
            <x14:dxf/>
          </x14:cfRule>
          <xm:sqref>M183</xm:sqref>
        </x14:conditionalFormatting>
        <x14:conditionalFormatting xmlns:xm="http://schemas.microsoft.com/office/excel/2006/main">
          <x14:cfRule type="containsText" priority="366" stopIfTrue="1" operator="containsText" id="{C2B5632E-633E-0D48-916D-CF77F6960883}">
            <xm:f>NOT(ISERROR(SEARCH("-",M185)))</xm:f>
            <xm:f>"-"</xm:f>
            <x14:dxf/>
          </x14:cfRule>
          <xm:sqref>M185</xm:sqref>
        </x14:conditionalFormatting>
        <x14:conditionalFormatting xmlns:xm="http://schemas.microsoft.com/office/excel/2006/main">
          <x14:cfRule type="containsText" priority="365" stopIfTrue="1" operator="containsText" id="{6B2E1505-E299-6348-829A-1EEFD79082FE}">
            <xm:f>NOT(ISERROR(SEARCH("-",M187)))</xm:f>
            <xm:f>"-"</xm:f>
            <x14:dxf/>
          </x14:cfRule>
          <xm:sqref>M187</xm:sqref>
        </x14:conditionalFormatting>
        <x14:conditionalFormatting xmlns:xm="http://schemas.microsoft.com/office/excel/2006/main">
          <x14:cfRule type="containsText" priority="363" stopIfTrue="1" operator="containsText" id="{A05B2AFB-EE1C-7649-B0C5-6A12796F91B5}">
            <xm:f>NOT(ISERROR(SEARCH("-",M191)))</xm:f>
            <xm:f>"-"</xm:f>
            <x14:dxf/>
          </x14:cfRule>
          <xm:sqref>M191</xm:sqref>
        </x14:conditionalFormatting>
        <x14:conditionalFormatting xmlns:xm="http://schemas.microsoft.com/office/excel/2006/main">
          <x14:cfRule type="containsText" priority="364" stopIfTrue="1" operator="containsText" id="{E29175B3-0818-354A-AE82-93B9DE1DCC3C}">
            <xm:f>NOT(ISERROR(SEARCH("-",M193)))</xm:f>
            <xm:f>"-"</xm:f>
            <x14:dxf/>
          </x14:cfRule>
          <xm:sqref>M193</xm:sqref>
        </x14:conditionalFormatting>
        <x14:conditionalFormatting xmlns:xm="http://schemas.microsoft.com/office/excel/2006/main">
          <x14:cfRule type="containsText" priority="362" stopIfTrue="1" operator="containsText" id="{F677919F-7FED-5341-A2BC-3245F4988529}">
            <xm:f>NOT(ISERROR(SEARCH("-",M195)))</xm:f>
            <xm:f>"-"</xm:f>
            <x14:dxf/>
          </x14:cfRule>
          <xm:sqref>M195</xm:sqref>
        </x14:conditionalFormatting>
        <x14:conditionalFormatting xmlns:xm="http://schemas.microsoft.com/office/excel/2006/main">
          <x14:cfRule type="containsText" priority="361" stopIfTrue="1" operator="containsText" id="{842E7AE6-C90C-D144-BB8F-9E3FC4A548CE}">
            <xm:f>NOT(ISERROR(SEARCH("-",M197)))</xm:f>
            <xm:f>"-"</xm:f>
            <x14:dxf/>
          </x14:cfRule>
          <xm:sqref>M197</xm:sqref>
        </x14:conditionalFormatting>
        <x14:conditionalFormatting xmlns:xm="http://schemas.microsoft.com/office/excel/2006/main">
          <x14:cfRule type="containsText" priority="359" stopIfTrue="1" operator="containsText" id="{07311EF3-E81B-CB42-A11B-780781612909}">
            <xm:f>NOT(ISERROR(SEARCH("-",M201)))</xm:f>
            <xm:f>"-"</xm:f>
            <x14:dxf/>
          </x14:cfRule>
          <xm:sqref>M201</xm:sqref>
        </x14:conditionalFormatting>
        <x14:conditionalFormatting xmlns:xm="http://schemas.microsoft.com/office/excel/2006/main">
          <x14:cfRule type="containsText" priority="360" stopIfTrue="1" operator="containsText" id="{C81DFB07-570C-7B4D-950B-DED07061C6CF}">
            <xm:f>NOT(ISERROR(SEARCH("-",M203)))</xm:f>
            <xm:f>"-"</xm:f>
            <x14:dxf/>
          </x14:cfRule>
          <xm:sqref>M203</xm:sqref>
        </x14:conditionalFormatting>
        <x14:conditionalFormatting xmlns:xm="http://schemas.microsoft.com/office/excel/2006/main">
          <x14:cfRule type="containsText" priority="358" stopIfTrue="1" operator="containsText" id="{D8596C9F-9663-8E4D-A52A-30DBB6A6DD6E}">
            <xm:f>NOT(ISERROR(SEARCH("-",M205)))</xm:f>
            <xm:f>"-"</xm:f>
            <x14:dxf/>
          </x14:cfRule>
          <xm:sqref>M205</xm:sqref>
        </x14:conditionalFormatting>
        <x14:conditionalFormatting xmlns:xm="http://schemas.microsoft.com/office/excel/2006/main">
          <x14:cfRule type="containsText" priority="357" stopIfTrue="1" operator="containsText" id="{9CCE7E52-9DA8-4E40-B386-63E9A16A7A5E}">
            <xm:f>NOT(ISERROR(SEARCH("-",M207)))</xm:f>
            <xm:f>"-"</xm:f>
            <x14:dxf/>
          </x14:cfRule>
          <xm:sqref>M207</xm:sqref>
        </x14:conditionalFormatting>
        <x14:conditionalFormatting xmlns:xm="http://schemas.microsoft.com/office/excel/2006/main">
          <x14:cfRule type="containsText" priority="355" stopIfTrue="1" operator="containsText" id="{FF885B07-B4E2-234C-8336-57B0AABE6D46}">
            <xm:f>NOT(ISERROR(SEARCH("-",M211)))</xm:f>
            <xm:f>"-"</xm:f>
            <x14:dxf/>
          </x14:cfRule>
          <xm:sqref>M211</xm:sqref>
        </x14:conditionalFormatting>
        <x14:conditionalFormatting xmlns:xm="http://schemas.microsoft.com/office/excel/2006/main">
          <x14:cfRule type="containsText" priority="356" stopIfTrue="1" operator="containsText" id="{28420093-4930-6044-9267-5C766DD224AD}">
            <xm:f>NOT(ISERROR(SEARCH("-",M213)))</xm:f>
            <xm:f>"-"</xm:f>
            <x14:dxf/>
          </x14:cfRule>
          <xm:sqref>M213</xm:sqref>
        </x14:conditionalFormatting>
        <x14:conditionalFormatting xmlns:xm="http://schemas.microsoft.com/office/excel/2006/main">
          <x14:cfRule type="containsText" priority="354" stopIfTrue="1" operator="containsText" id="{356FA9DB-E0F3-614A-92DD-77C345AA37F6}">
            <xm:f>NOT(ISERROR(SEARCH("-",M215)))</xm:f>
            <xm:f>"-"</xm:f>
            <x14:dxf/>
          </x14:cfRule>
          <xm:sqref>M215</xm:sqref>
        </x14:conditionalFormatting>
        <x14:conditionalFormatting xmlns:xm="http://schemas.microsoft.com/office/excel/2006/main">
          <x14:cfRule type="containsText" priority="353" stopIfTrue="1" operator="containsText" id="{987C156A-5C7B-2242-AE12-56314F2443F8}">
            <xm:f>NOT(ISERROR(SEARCH("-",M217)))</xm:f>
            <xm:f>"-"</xm:f>
            <x14:dxf/>
          </x14:cfRule>
          <xm:sqref>M217</xm:sqref>
        </x14:conditionalFormatting>
        <x14:conditionalFormatting xmlns:xm="http://schemas.microsoft.com/office/excel/2006/main">
          <x14:cfRule type="containsText" priority="351" stopIfTrue="1" operator="containsText" id="{4525EEAA-EF49-CE4F-BD3F-64DF6485F5C0}">
            <xm:f>NOT(ISERROR(SEARCH("-",M221)))</xm:f>
            <xm:f>"-"</xm:f>
            <x14:dxf/>
          </x14:cfRule>
          <xm:sqref>M221</xm:sqref>
        </x14:conditionalFormatting>
        <x14:conditionalFormatting xmlns:xm="http://schemas.microsoft.com/office/excel/2006/main">
          <x14:cfRule type="containsText" priority="352" stopIfTrue="1" operator="containsText" id="{C53B4D0F-7564-B04E-A486-5BA7ABB15006}">
            <xm:f>NOT(ISERROR(SEARCH("-",M223)))</xm:f>
            <xm:f>"-"</xm:f>
            <x14:dxf/>
          </x14:cfRule>
          <xm:sqref>M223</xm:sqref>
        </x14:conditionalFormatting>
        <x14:conditionalFormatting xmlns:xm="http://schemas.microsoft.com/office/excel/2006/main">
          <x14:cfRule type="containsText" priority="350" stopIfTrue="1" operator="containsText" id="{CC5E0E23-54CE-0B44-8213-EBC2D7A1D4A9}">
            <xm:f>NOT(ISERROR(SEARCH("-",M225)))</xm:f>
            <xm:f>"-"</xm:f>
            <x14:dxf/>
          </x14:cfRule>
          <xm:sqref>M225</xm:sqref>
        </x14:conditionalFormatting>
        <x14:conditionalFormatting xmlns:xm="http://schemas.microsoft.com/office/excel/2006/main">
          <x14:cfRule type="containsText" priority="349" stopIfTrue="1" operator="containsText" id="{A506BFA2-6429-0B48-B098-BD1B940DF639}">
            <xm:f>NOT(ISERROR(SEARCH("-",M227)))</xm:f>
            <xm:f>"-"</xm:f>
            <x14:dxf/>
          </x14:cfRule>
          <xm:sqref>M227</xm:sqref>
        </x14:conditionalFormatting>
        <x14:conditionalFormatting xmlns:xm="http://schemas.microsoft.com/office/excel/2006/main">
          <x14:cfRule type="containsText" priority="347" stopIfTrue="1" operator="containsText" id="{9490B2EB-3EA0-E746-A859-7273172323DE}">
            <xm:f>NOT(ISERROR(SEARCH("-",M231)))</xm:f>
            <xm:f>"-"</xm:f>
            <x14:dxf/>
          </x14:cfRule>
          <xm:sqref>M231</xm:sqref>
        </x14:conditionalFormatting>
        <x14:conditionalFormatting xmlns:xm="http://schemas.microsoft.com/office/excel/2006/main">
          <x14:cfRule type="containsText" priority="348" stopIfTrue="1" operator="containsText" id="{A4DFC0D7-2E61-6744-897D-A8C09E3BA4DA}">
            <xm:f>NOT(ISERROR(SEARCH("-",M233)))</xm:f>
            <xm:f>"-"</xm:f>
            <x14:dxf/>
          </x14:cfRule>
          <xm:sqref>M233</xm:sqref>
        </x14:conditionalFormatting>
        <x14:conditionalFormatting xmlns:xm="http://schemas.microsoft.com/office/excel/2006/main">
          <x14:cfRule type="containsText" priority="346" stopIfTrue="1" operator="containsText" id="{4BCF554F-F732-7844-B25C-D6E472AB0508}">
            <xm:f>NOT(ISERROR(SEARCH("-",M235)))</xm:f>
            <xm:f>"-"</xm:f>
            <x14:dxf/>
          </x14:cfRule>
          <xm:sqref>M235</xm:sqref>
        </x14:conditionalFormatting>
        <x14:conditionalFormatting xmlns:xm="http://schemas.microsoft.com/office/excel/2006/main">
          <x14:cfRule type="containsText" priority="345" stopIfTrue="1" operator="containsText" id="{FCCA756D-2782-C448-9475-82EAA2DAFDC2}">
            <xm:f>NOT(ISERROR(SEARCH("-",M237)))</xm:f>
            <xm:f>"-"</xm:f>
            <x14:dxf/>
          </x14:cfRule>
          <xm:sqref>M237</xm:sqref>
        </x14:conditionalFormatting>
        <x14:conditionalFormatting xmlns:xm="http://schemas.microsoft.com/office/excel/2006/main">
          <x14:cfRule type="containsText" priority="343" stopIfTrue="1" operator="containsText" id="{37EE4A6B-AA18-3047-9C44-03D1C52F0A6D}">
            <xm:f>NOT(ISERROR(SEARCH("-",M241)))</xm:f>
            <xm:f>"-"</xm:f>
            <x14:dxf/>
          </x14:cfRule>
          <xm:sqref>M241</xm:sqref>
        </x14:conditionalFormatting>
        <x14:conditionalFormatting xmlns:xm="http://schemas.microsoft.com/office/excel/2006/main">
          <x14:cfRule type="containsText" priority="344" stopIfTrue="1" operator="containsText" id="{976F83B5-A424-8247-8274-AD571CC7BBAF}">
            <xm:f>NOT(ISERROR(SEARCH("-",M243)))</xm:f>
            <xm:f>"-"</xm:f>
            <x14:dxf/>
          </x14:cfRule>
          <xm:sqref>M243</xm:sqref>
        </x14:conditionalFormatting>
        <x14:conditionalFormatting xmlns:xm="http://schemas.microsoft.com/office/excel/2006/main">
          <x14:cfRule type="containsText" priority="342" stopIfTrue="1" operator="containsText" id="{851F258A-822E-1A4A-B85E-7514885D1FCA}">
            <xm:f>NOT(ISERROR(SEARCH("-",M245)))</xm:f>
            <xm:f>"-"</xm:f>
            <x14:dxf/>
          </x14:cfRule>
          <xm:sqref>M245</xm:sqref>
        </x14:conditionalFormatting>
        <x14:conditionalFormatting xmlns:xm="http://schemas.microsoft.com/office/excel/2006/main">
          <x14:cfRule type="containsText" priority="341" stopIfTrue="1" operator="containsText" id="{0C2A3EA4-C65A-9247-A831-CECE0096035D}">
            <xm:f>NOT(ISERROR(SEARCH("-",M247)))</xm:f>
            <xm:f>"-"</xm:f>
            <x14:dxf/>
          </x14:cfRule>
          <xm:sqref>M247</xm:sqref>
        </x14:conditionalFormatting>
        <x14:conditionalFormatting xmlns:xm="http://schemas.microsoft.com/office/excel/2006/main">
          <x14:cfRule type="containsText" priority="339" stopIfTrue="1" operator="containsText" id="{0ADE6510-9F67-2144-AD84-AB83A26ECB19}">
            <xm:f>NOT(ISERROR(SEARCH("-",M251)))</xm:f>
            <xm:f>"-"</xm:f>
            <x14:dxf/>
          </x14:cfRule>
          <xm:sqref>M251</xm:sqref>
        </x14:conditionalFormatting>
        <x14:conditionalFormatting xmlns:xm="http://schemas.microsoft.com/office/excel/2006/main">
          <x14:cfRule type="containsText" priority="340" stopIfTrue="1" operator="containsText" id="{73C7EA12-3438-1544-A46C-3D1F34185E19}">
            <xm:f>NOT(ISERROR(SEARCH("-",M253)))</xm:f>
            <xm:f>"-"</xm:f>
            <x14:dxf/>
          </x14:cfRule>
          <xm:sqref>M253</xm:sqref>
        </x14:conditionalFormatting>
        <x14:conditionalFormatting xmlns:xm="http://schemas.microsoft.com/office/excel/2006/main">
          <x14:cfRule type="containsText" priority="338" stopIfTrue="1" operator="containsText" id="{AB9E0A57-7DB8-614F-9C10-A2907692F1EA}">
            <xm:f>NOT(ISERROR(SEARCH("-",M255)))</xm:f>
            <xm:f>"-"</xm:f>
            <x14:dxf/>
          </x14:cfRule>
          <xm:sqref>M255</xm:sqref>
        </x14:conditionalFormatting>
        <x14:conditionalFormatting xmlns:xm="http://schemas.microsoft.com/office/excel/2006/main">
          <x14:cfRule type="containsText" priority="337" stopIfTrue="1" operator="containsText" id="{C2BEDE2E-5B56-B648-BF6D-ABD38A5B7AB2}">
            <xm:f>NOT(ISERROR(SEARCH("-",M257)))</xm:f>
            <xm:f>"-"</xm:f>
            <x14:dxf/>
          </x14:cfRule>
          <xm:sqref>M257</xm:sqref>
        </x14:conditionalFormatting>
        <x14:conditionalFormatting xmlns:xm="http://schemas.microsoft.com/office/excel/2006/main">
          <x14:cfRule type="containsText" priority="335" stopIfTrue="1" operator="containsText" id="{584DB8ED-29E2-3B4D-A0B5-4D9FBDFE3628}">
            <xm:f>NOT(ISERROR(SEARCH("-",M261)))</xm:f>
            <xm:f>"-"</xm:f>
            <x14:dxf/>
          </x14:cfRule>
          <xm:sqref>M261</xm:sqref>
        </x14:conditionalFormatting>
        <x14:conditionalFormatting xmlns:xm="http://schemas.microsoft.com/office/excel/2006/main">
          <x14:cfRule type="containsText" priority="336" stopIfTrue="1" operator="containsText" id="{9636E524-8EA7-1C49-AA0B-1CED350D8AD1}">
            <xm:f>NOT(ISERROR(SEARCH("-",M263)))</xm:f>
            <xm:f>"-"</xm:f>
            <x14:dxf/>
          </x14:cfRule>
          <xm:sqref>M263</xm:sqref>
        </x14:conditionalFormatting>
        <x14:conditionalFormatting xmlns:xm="http://schemas.microsoft.com/office/excel/2006/main">
          <x14:cfRule type="containsText" priority="334" stopIfTrue="1" operator="containsText" id="{B5018AF7-6F2D-EB4F-B579-7CC0F3420196}">
            <xm:f>NOT(ISERROR(SEARCH("-",M265)))</xm:f>
            <xm:f>"-"</xm:f>
            <x14:dxf/>
          </x14:cfRule>
          <xm:sqref>M265</xm:sqref>
        </x14:conditionalFormatting>
        <x14:conditionalFormatting xmlns:xm="http://schemas.microsoft.com/office/excel/2006/main">
          <x14:cfRule type="containsText" priority="333" stopIfTrue="1" operator="containsText" id="{3DF307BD-AC89-F643-98EE-C3739400121E}">
            <xm:f>NOT(ISERROR(SEARCH("-",M267)))</xm:f>
            <xm:f>"-"</xm:f>
            <x14:dxf/>
          </x14:cfRule>
          <xm:sqref>M267</xm:sqref>
        </x14:conditionalFormatting>
        <x14:conditionalFormatting xmlns:xm="http://schemas.microsoft.com/office/excel/2006/main">
          <x14:cfRule type="containsText" priority="331" stopIfTrue="1" operator="containsText" id="{26B35901-E423-224C-8FDC-21858843E5AD}">
            <xm:f>NOT(ISERROR(SEARCH("-",M271)))</xm:f>
            <xm:f>"-"</xm:f>
            <x14:dxf/>
          </x14:cfRule>
          <xm:sqref>M271</xm:sqref>
        </x14:conditionalFormatting>
        <x14:conditionalFormatting xmlns:xm="http://schemas.microsoft.com/office/excel/2006/main">
          <x14:cfRule type="containsText" priority="332" stopIfTrue="1" operator="containsText" id="{67133E20-711C-A946-8076-58BEB5A0BA4A}">
            <xm:f>NOT(ISERROR(SEARCH("-",M273)))</xm:f>
            <xm:f>"-"</xm:f>
            <x14:dxf/>
          </x14:cfRule>
          <xm:sqref>M273</xm:sqref>
        </x14:conditionalFormatting>
        <x14:conditionalFormatting xmlns:xm="http://schemas.microsoft.com/office/excel/2006/main">
          <x14:cfRule type="containsText" priority="330" stopIfTrue="1" operator="containsText" id="{93752384-ECE7-F544-8CD3-B58B1FFCF8BE}">
            <xm:f>NOT(ISERROR(SEARCH("-",M275)))</xm:f>
            <xm:f>"-"</xm:f>
            <x14:dxf/>
          </x14:cfRule>
          <xm:sqref>M275</xm:sqref>
        </x14:conditionalFormatting>
        <x14:conditionalFormatting xmlns:xm="http://schemas.microsoft.com/office/excel/2006/main">
          <x14:cfRule type="containsText" priority="329" stopIfTrue="1" operator="containsText" id="{D8C90948-7D5C-BC4A-86A8-531170801129}">
            <xm:f>NOT(ISERROR(SEARCH("-",M277)))</xm:f>
            <xm:f>"-"</xm:f>
            <x14:dxf/>
          </x14:cfRule>
          <xm:sqref>M277</xm:sqref>
        </x14:conditionalFormatting>
        <x14:conditionalFormatting xmlns:xm="http://schemas.microsoft.com/office/excel/2006/main">
          <x14:cfRule type="containsText" priority="327" stopIfTrue="1" operator="containsText" id="{850895FF-254F-C647-B9F6-9F30FA121FB4}">
            <xm:f>NOT(ISERROR(SEARCH("-",M281)))</xm:f>
            <xm:f>"-"</xm:f>
            <x14:dxf/>
          </x14:cfRule>
          <xm:sqref>M281</xm:sqref>
        </x14:conditionalFormatting>
        <x14:conditionalFormatting xmlns:xm="http://schemas.microsoft.com/office/excel/2006/main">
          <x14:cfRule type="containsText" priority="328" stopIfTrue="1" operator="containsText" id="{D7A0A544-9430-FF42-AC18-4B95C9156924}">
            <xm:f>NOT(ISERROR(SEARCH("-",M283)))</xm:f>
            <xm:f>"-"</xm:f>
            <x14:dxf/>
          </x14:cfRule>
          <xm:sqref>M283</xm:sqref>
        </x14:conditionalFormatting>
        <x14:conditionalFormatting xmlns:xm="http://schemas.microsoft.com/office/excel/2006/main">
          <x14:cfRule type="containsText" priority="326" stopIfTrue="1" operator="containsText" id="{BD9189C2-1498-5F48-A5BA-0CBFD9DE579D}">
            <xm:f>NOT(ISERROR(SEARCH("-",M285)))</xm:f>
            <xm:f>"-"</xm:f>
            <x14:dxf/>
          </x14:cfRule>
          <xm:sqref>M285</xm:sqref>
        </x14:conditionalFormatting>
        <x14:conditionalFormatting xmlns:xm="http://schemas.microsoft.com/office/excel/2006/main">
          <x14:cfRule type="containsText" priority="325" stopIfTrue="1" operator="containsText" id="{28BF2E55-041D-8C45-87AD-A828731B0D76}">
            <xm:f>NOT(ISERROR(SEARCH("-",M287)))</xm:f>
            <xm:f>"-"</xm:f>
            <x14:dxf/>
          </x14:cfRule>
          <xm:sqref>M287</xm:sqref>
        </x14:conditionalFormatting>
        <x14:conditionalFormatting xmlns:xm="http://schemas.microsoft.com/office/excel/2006/main">
          <x14:cfRule type="containsText" priority="323" stopIfTrue="1" operator="containsText" id="{889C2D46-6D5A-4F47-8299-F5264CC458EE}">
            <xm:f>NOT(ISERROR(SEARCH("-",M291)))</xm:f>
            <xm:f>"-"</xm:f>
            <x14:dxf/>
          </x14:cfRule>
          <xm:sqref>M291</xm:sqref>
        </x14:conditionalFormatting>
        <x14:conditionalFormatting xmlns:xm="http://schemas.microsoft.com/office/excel/2006/main">
          <x14:cfRule type="containsText" priority="324" stopIfTrue="1" operator="containsText" id="{CCE7571C-5E6E-8D4C-8A43-514B2FDE4303}">
            <xm:f>NOT(ISERROR(SEARCH("-",M293)))</xm:f>
            <xm:f>"-"</xm:f>
            <x14:dxf/>
          </x14:cfRule>
          <xm:sqref>M293</xm:sqref>
        </x14:conditionalFormatting>
        <x14:conditionalFormatting xmlns:xm="http://schemas.microsoft.com/office/excel/2006/main">
          <x14:cfRule type="containsText" priority="322" stopIfTrue="1" operator="containsText" id="{3BC010CA-01BB-CE4F-9122-60ED42846704}">
            <xm:f>NOT(ISERROR(SEARCH("-",M295)))</xm:f>
            <xm:f>"-"</xm:f>
            <x14:dxf/>
          </x14:cfRule>
          <xm:sqref>M295</xm:sqref>
        </x14:conditionalFormatting>
        <x14:conditionalFormatting xmlns:xm="http://schemas.microsoft.com/office/excel/2006/main">
          <x14:cfRule type="containsText" priority="321" stopIfTrue="1" operator="containsText" id="{B3D5698F-CB16-B94F-BCB8-E5FCC98CCC59}">
            <xm:f>NOT(ISERROR(SEARCH("-",M297)))</xm:f>
            <xm:f>"-"</xm:f>
            <x14:dxf/>
          </x14:cfRule>
          <xm:sqref>M297</xm:sqref>
        </x14:conditionalFormatting>
        <x14:conditionalFormatting xmlns:xm="http://schemas.microsoft.com/office/excel/2006/main">
          <x14:cfRule type="containsText" priority="319" stopIfTrue="1" operator="containsText" id="{102C737B-AC66-EF44-8C39-2F3F87698342}">
            <xm:f>NOT(ISERROR(SEARCH("-",M301)))</xm:f>
            <xm:f>"-"</xm:f>
            <x14:dxf/>
          </x14:cfRule>
          <xm:sqref>M301</xm:sqref>
        </x14:conditionalFormatting>
        <x14:conditionalFormatting xmlns:xm="http://schemas.microsoft.com/office/excel/2006/main">
          <x14:cfRule type="containsText" priority="320" stopIfTrue="1" operator="containsText" id="{EE8FCFCE-EC12-6A4F-8076-E51C74278F65}">
            <xm:f>NOT(ISERROR(SEARCH("-",M303)))</xm:f>
            <xm:f>"-"</xm:f>
            <x14:dxf/>
          </x14:cfRule>
          <xm:sqref>M303</xm:sqref>
        </x14:conditionalFormatting>
        <x14:conditionalFormatting xmlns:xm="http://schemas.microsoft.com/office/excel/2006/main">
          <x14:cfRule type="containsText" priority="318" stopIfTrue="1" operator="containsText" id="{7791DE4E-B199-C740-8BA6-CF999721C3F0}">
            <xm:f>NOT(ISERROR(SEARCH("-",M305)))</xm:f>
            <xm:f>"-"</xm:f>
            <x14:dxf/>
          </x14:cfRule>
          <xm:sqref>M305</xm:sqref>
        </x14:conditionalFormatting>
        <x14:conditionalFormatting xmlns:xm="http://schemas.microsoft.com/office/excel/2006/main">
          <x14:cfRule type="containsText" priority="317" stopIfTrue="1" operator="containsText" id="{3B1963A2-8BB3-F14C-8C5E-D0EB48FA26D4}">
            <xm:f>NOT(ISERROR(SEARCH("-",M307)))</xm:f>
            <xm:f>"-"</xm:f>
            <x14:dxf/>
          </x14:cfRule>
          <xm:sqref>M307</xm:sqref>
        </x14:conditionalFormatting>
        <x14:conditionalFormatting xmlns:xm="http://schemas.microsoft.com/office/excel/2006/main">
          <x14:cfRule type="containsText" priority="315" stopIfTrue="1" operator="containsText" id="{49AA223D-8CA9-2F47-8B80-BD7327790780}">
            <xm:f>NOT(ISERROR(SEARCH("-",M311)))</xm:f>
            <xm:f>"-"</xm:f>
            <x14:dxf/>
          </x14:cfRule>
          <xm:sqref>M311</xm:sqref>
        </x14:conditionalFormatting>
        <x14:conditionalFormatting xmlns:xm="http://schemas.microsoft.com/office/excel/2006/main">
          <x14:cfRule type="containsText" priority="316" stopIfTrue="1" operator="containsText" id="{239F45F6-899E-AE45-B653-22A21C635F16}">
            <xm:f>NOT(ISERROR(SEARCH("-",M313)))</xm:f>
            <xm:f>"-"</xm:f>
            <x14:dxf/>
          </x14:cfRule>
          <xm:sqref>M313</xm:sqref>
        </x14:conditionalFormatting>
        <x14:conditionalFormatting xmlns:xm="http://schemas.microsoft.com/office/excel/2006/main">
          <x14:cfRule type="containsText" priority="314" stopIfTrue="1" operator="containsText" id="{74B87CE7-7E9F-6A41-8FCC-F65DA37BC792}">
            <xm:f>NOT(ISERROR(SEARCH("-",M315)))</xm:f>
            <xm:f>"-"</xm:f>
            <x14:dxf/>
          </x14:cfRule>
          <xm:sqref>M315</xm:sqref>
        </x14:conditionalFormatting>
        <x14:conditionalFormatting xmlns:xm="http://schemas.microsoft.com/office/excel/2006/main">
          <x14:cfRule type="containsText" priority="313" stopIfTrue="1" operator="containsText" id="{5B703657-FB99-F147-89FC-C3505C4153DD}">
            <xm:f>NOT(ISERROR(SEARCH("-",M317)))</xm:f>
            <xm:f>"-"</xm:f>
            <x14:dxf/>
          </x14:cfRule>
          <xm:sqref>M317</xm:sqref>
        </x14:conditionalFormatting>
        <x14:conditionalFormatting xmlns:xm="http://schemas.microsoft.com/office/excel/2006/main">
          <x14:cfRule type="containsText" priority="311" stopIfTrue="1" operator="containsText" id="{F26970EA-0420-8243-B80E-AA9680A52F36}">
            <xm:f>NOT(ISERROR(SEARCH("-",M321)))</xm:f>
            <xm:f>"-"</xm:f>
            <x14:dxf/>
          </x14:cfRule>
          <xm:sqref>M321</xm:sqref>
        </x14:conditionalFormatting>
        <x14:conditionalFormatting xmlns:xm="http://schemas.microsoft.com/office/excel/2006/main">
          <x14:cfRule type="containsText" priority="312" stopIfTrue="1" operator="containsText" id="{816CD270-77E2-A74F-9976-5EC0A8EFE0AE}">
            <xm:f>NOT(ISERROR(SEARCH("-",M323)))</xm:f>
            <xm:f>"-"</xm:f>
            <x14:dxf/>
          </x14:cfRule>
          <xm:sqref>M323</xm:sqref>
        </x14:conditionalFormatting>
        <x14:conditionalFormatting xmlns:xm="http://schemas.microsoft.com/office/excel/2006/main">
          <x14:cfRule type="containsText" priority="310" stopIfTrue="1" operator="containsText" id="{0751C2A6-FDC7-624B-A2AB-76F861EDA7DD}">
            <xm:f>NOT(ISERROR(SEARCH("-",M325)))</xm:f>
            <xm:f>"-"</xm:f>
            <x14:dxf/>
          </x14:cfRule>
          <xm:sqref>M325</xm:sqref>
        </x14:conditionalFormatting>
        <x14:conditionalFormatting xmlns:xm="http://schemas.microsoft.com/office/excel/2006/main">
          <x14:cfRule type="containsText" priority="309" stopIfTrue="1" operator="containsText" id="{6D4D48D3-EC04-914A-806D-C063E3B5651A}">
            <xm:f>NOT(ISERROR(SEARCH("-",M327)))</xm:f>
            <xm:f>"-"</xm:f>
            <x14:dxf/>
          </x14:cfRule>
          <xm:sqref>M327</xm:sqref>
        </x14:conditionalFormatting>
        <x14:conditionalFormatting xmlns:xm="http://schemas.microsoft.com/office/excel/2006/main">
          <x14:cfRule type="containsText" priority="307" stopIfTrue="1" operator="containsText" id="{1DC32F99-1970-D441-9C6C-2B15CF56BF83}">
            <xm:f>NOT(ISERROR(SEARCH("-",M331)))</xm:f>
            <xm:f>"-"</xm:f>
            <x14:dxf/>
          </x14:cfRule>
          <xm:sqref>M331</xm:sqref>
        </x14:conditionalFormatting>
        <x14:conditionalFormatting xmlns:xm="http://schemas.microsoft.com/office/excel/2006/main">
          <x14:cfRule type="containsText" priority="308" stopIfTrue="1" operator="containsText" id="{546FF5A2-8C01-3E46-9110-A20A2D8B5D7D}">
            <xm:f>NOT(ISERROR(SEARCH("-",M333)))</xm:f>
            <xm:f>"-"</xm:f>
            <x14:dxf/>
          </x14:cfRule>
          <xm:sqref>M333</xm:sqref>
        </x14:conditionalFormatting>
        <x14:conditionalFormatting xmlns:xm="http://schemas.microsoft.com/office/excel/2006/main">
          <x14:cfRule type="containsText" priority="306" stopIfTrue="1" operator="containsText" id="{DAFB855B-CA72-7D4E-A2C7-7ACD151637C4}">
            <xm:f>NOT(ISERROR(SEARCH("-",M335)))</xm:f>
            <xm:f>"-"</xm:f>
            <x14:dxf/>
          </x14:cfRule>
          <xm:sqref>M335</xm:sqref>
        </x14:conditionalFormatting>
        <x14:conditionalFormatting xmlns:xm="http://schemas.microsoft.com/office/excel/2006/main">
          <x14:cfRule type="containsText" priority="305" stopIfTrue="1" operator="containsText" id="{D9EC9428-6334-3D44-9591-626722051208}">
            <xm:f>NOT(ISERROR(SEARCH("-",M337)))</xm:f>
            <xm:f>"-"</xm:f>
            <x14:dxf/>
          </x14:cfRule>
          <xm:sqref>M337</xm:sqref>
        </x14:conditionalFormatting>
        <x14:conditionalFormatting xmlns:xm="http://schemas.microsoft.com/office/excel/2006/main">
          <x14:cfRule type="containsText" priority="303" stopIfTrue="1" operator="containsText" id="{23713797-A0C3-0F43-B58E-FC2A0D930E70}">
            <xm:f>NOT(ISERROR(SEARCH("-",M341)))</xm:f>
            <xm:f>"-"</xm:f>
            <x14:dxf/>
          </x14:cfRule>
          <xm:sqref>M341</xm:sqref>
        </x14:conditionalFormatting>
        <x14:conditionalFormatting xmlns:xm="http://schemas.microsoft.com/office/excel/2006/main">
          <x14:cfRule type="containsText" priority="304" stopIfTrue="1" operator="containsText" id="{8D503F95-D509-2E4A-AFC5-B299EFB85CD2}">
            <xm:f>NOT(ISERROR(SEARCH("-",M343)))</xm:f>
            <xm:f>"-"</xm:f>
            <x14:dxf/>
          </x14:cfRule>
          <xm:sqref>M343</xm:sqref>
        </x14:conditionalFormatting>
        <x14:conditionalFormatting xmlns:xm="http://schemas.microsoft.com/office/excel/2006/main">
          <x14:cfRule type="containsText" priority="302" stopIfTrue="1" operator="containsText" id="{4CBD7468-3D7D-8347-B6A9-A9349496CBEC}">
            <xm:f>NOT(ISERROR(SEARCH("-",M345)))</xm:f>
            <xm:f>"-"</xm:f>
            <x14:dxf/>
          </x14:cfRule>
          <xm:sqref>M345</xm:sqref>
        </x14:conditionalFormatting>
        <x14:conditionalFormatting xmlns:xm="http://schemas.microsoft.com/office/excel/2006/main">
          <x14:cfRule type="containsText" priority="301" stopIfTrue="1" operator="containsText" id="{5D2728A1-4F29-854A-966D-4F66E0AEC25E}">
            <xm:f>NOT(ISERROR(SEARCH("-",M347)))</xm:f>
            <xm:f>"-"</xm:f>
            <x14:dxf/>
          </x14:cfRule>
          <xm:sqref>M347</xm:sqref>
        </x14:conditionalFormatting>
        <x14:conditionalFormatting xmlns:xm="http://schemas.microsoft.com/office/excel/2006/main">
          <x14:cfRule type="containsText" priority="299" stopIfTrue="1" operator="containsText" id="{3668F553-6AD5-734F-9AF5-D1EA3EB9B5F8}">
            <xm:f>NOT(ISERROR(SEARCH("-",M351)))</xm:f>
            <xm:f>"-"</xm:f>
            <x14:dxf/>
          </x14:cfRule>
          <xm:sqref>M351</xm:sqref>
        </x14:conditionalFormatting>
        <x14:conditionalFormatting xmlns:xm="http://schemas.microsoft.com/office/excel/2006/main">
          <x14:cfRule type="containsText" priority="300" stopIfTrue="1" operator="containsText" id="{42FC1ECA-0FD1-B641-AC3D-629AD3C264E4}">
            <xm:f>NOT(ISERROR(SEARCH("-",M353)))</xm:f>
            <xm:f>"-"</xm:f>
            <x14:dxf/>
          </x14:cfRule>
          <xm:sqref>M353</xm:sqref>
        </x14:conditionalFormatting>
        <x14:conditionalFormatting xmlns:xm="http://schemas.microsoft.com/office/excel/2006/main">
          <x14:cfRule type="containsText" priority="298" stopIfTrue="1" operator="containsText" id="{9F8906AC-33EF-6D49-A12E-12B8F52872F7}">
            <xm:f>NOT(ISERROR(SEARCH("-",M355)))</xm:f>
            <xm:f>"-"</xm:f>
            <x14:dxf/>
          </x14:cfRule>
          <xm:sqref>M355</xm:sqref>
        </x14:conditionalFormatting>
        <x14:conditionalFormatting xmlns:xm="http://schemas.microsoft.com/office/excel/2006/main">
          <x14:cfRule type="containsText" priority="297" stopIfTrue="1" operator="containsText" id="{555441BA-D465-294A-A636-AB206AFC98FD}">
            <xm:f>NOT(ISERROR(SEARCH("-",M357)))</xm:f>
            <xm:f>"-"</xm:f>
            <x14:dxf/>
          </x14:cfRule>
          <xm:sqref>M357</xm:sqref>
        </x14:conditionalFormatting>
        <x14:conditionalFormatting xmlns:xm="http://schemas.microsoft.com/office/excel/2006/main">
          <x14:cfRule type="containsText" priority="295" stopIfTrue="1" operator="containsText" id="{5D98BABF-A475-6748-9875-B1FA8C2BB7EF}">
            <xm:f>NOT(ISERROR(SEARCH("-",M361)))</xm:f>
            <xm:f>"-"</xm:f>
            <x14:dxf/>
          </x14:cfRule>
          <xm:sqref>M361</xm:sqref>
        </x14:conditionalFormatting>
        <x14:conditionalFormatting xmlns:xm="http://schemas.microsoft.com/office/excel/2006/main">
          <x14:cfRule type="containsText" priority="296" stopIfTrue="1" operator="containsText" id="{DEA0BC94-DF45-314E-90BD-ABC1C77535C9}">
            <xm:f>NOT(ISERROR(SEARCH("-",M363)))</xm:f>
            <xm:f>"-"</xm:f>
            <x14:dxf/>
          </x14:cfRule>
          <xm:sqref>M363</xm:sqref>
        </x14:conditionalFormatting>
        <x14:conditionalFormatting xmlns:xm="http://schemas.microsoft.com/office/excel/2006/main">
          <x14:cfRule type="containsText" priority="294" stopIfTrue="1" operator="containsText" id="{714BEF0D-4423-B240-A652-3F6F630FAC3D}">
            <xm:f>NOT(ISERROR(SEARCH("-",M365)))</xm:f>
            <xm:f>"-"</xm:f>
            <x14:dxf/>
          </x14:cfRule>
          <xm:sqref>M365</xm:sqref>
        </x14:conditionalFormatting>
        <x14:conditionalFormatting xmlns:xm="http://schemas.microsoft.com/office/excel/2006/main">
          <x14:cfRule type="containsText" priority="293" stopIfTrue="1" operator="containsText" id="{EED08E6B-ABE4-B444-B7B4-09BAB1972352}">
            <xm:f>NOT(ISERROR(SEARCH("-",M367)))</xm:f>
            <xm:f>"-"</xm:f>
            <x14:dxf/>
          </x14:cfRule>
          <xm:sqref>M367</xm:sqref>
        </x14:conditionalFormatting>
        <x14:conditionalFormatting xmlns:xm="http://schemas.microsoft.com/office/excel/2006/main">
          <x14:cfRule type="containsText" priority="291" stopIfTrue="1" operator="containsText" id="{F1E31537-8578-AF44-BF42-4929DCF0D133}">
            <xm:f>NOT(ISERROR(SEARCH("-",M371)))</xm:f>
            <xm:f>"-"</xm:f>
            <x14:dxf/>
          </x14:cfRule>
          <xm:sqref>M371</xm:sqref>
        </x14:conditionalFormatting>
        <x14:conditionalFormatting xmlns:xm="http://schemas.microsoft.com/office/excel/2006/main">
          <x14:cfRule type="containsText" priority="292" stopIfTrue="1" operator="containsText" id="{D84A3707-5912-934E-8EBD-4D9C0D5C010E}">
            <xm:f>NOT(ISERROR(SEARCH("-",M373)))</xm:f>
            <xm:f>"-"</xm:f>
            <x14:dxf/>
          </x14:cfRule>
          <xm:sqref>M373</xm:sqref>
        </x14:conditionalFormatting>
        <x14:conditionalFormatting xmlns:xm="http://schemas.microsoft.com/office/excel/2006/main">
          <x14:cfRule type="containsText" priority="290" stopIfTrue="1" operator="containsText" id="{8EDF0F52-4A91-1843-BCD7-B1A3F05ABE59}">
            <xm:f>NOT(ISERROR(SEARCH("-",M375)))</xm:f>
            <xm:f>"-"</xm:f>
            <x14:dxf/>
          </x14:cfRule>
          <xm:sqref>M375</xm:sqref>
        </x14:conditionalFormatting>
        <x14:conditionalFormatting xmlns:xm="http://schemas.microsoft.com/office/excel/2006/main">
          <x14:cfRule type="containsText" priority="289" stopIfTrue="1" operator="containsText" id="{45AC9E9A-56DB-3340-9445-5B2430C84415}">
            <xm:f>NOT(ISERROR(SEARCH("-",M377)))</xm:f>
            <xm:f>"-"</xm:f>
            <x14:dxf/>
          </x14:cfRule>
          <xm:sqref>M377</xm:sqref>
        </x14:conditionalFormatting>
        <x14:conditionalFormatting xmlns:xm="http://schemas.microsoft.com/office/excel/2006/main">
          <x14:cfRule type="containsText" priority="287" stopIfTrue="1" operator="containsText" id="{0403A458-21E5-7647-8687-9638325F5AEF}">
            <xm:f>NOT(ISERROR(SEARCH("-",M381)))</xm:f>
            <xm:f>"-"</xm:f>
            <x14:dxf/>
          </x14:cfRule>
          <xm:sqref>M381</xm:sqref>
        </x14:conditionalFormatting>
        <x14:conditionalFormatting xmlns:xm="http://schemas.microsoft.com/office/excel/2006/main">
          <x14:cfRule type="containsText" priority="288" stopIfTrue="1" operator="containsText" id="{10F05F23-74CF-1A4A-AA9C-943681A6C269}">
            <xm:f>NOT(ISERROR(SEARCH("-",M383)))</xm:f>
            <xm:f>"-"</xm:f>
            <x14:dxf/>
          </x14:cfRule>
          <xm:sqref>M383</xm:sqref>
        </x14:conditionalFormatting>
        <x14:conditionalFormatting xmlns:xm="http://schemas.microsoft.com/office/excel/2006/main">
          <x14:cfRule type="containsText" priority="286" stopIfTrue="1" operator="containsText" id="{8E63F68A-CA3A-E945-A5D3-6EE272C8AEC0}">
            <xm:f>NOT(ISERROR(SEARCH("-",M385)))</xm:f>
            <xm:f>"-"</xm:f>
            <x14:dxf/>
          </x14:cfRule>
          <xm:sqref>M385</xm:sqref>
        </x14:conditionalFormatting>
        <x14:conditionalFormatting xmlns:xm="http://schemas.microsoft.com/office/excel/2006/main">
          <x14:cfRule type="containsText" priority="285" stopIfTrue="1" operator="containsText" id="{6D8BB0D4-B7E1-9749-810B-E67CD0F722A6}">
            <xm:f>NOT(ISERROR(SEARCH("-",M387)))</xm:f>
            <xm:f>"-"</xm:f>
            <x14:dxf/>
          </x14:cfRule>
          <xm:sqref>M387</xm:sqref>
        </x14:conditionalFormatting>
        <x14:conditionalFormatting xmlns:xm="http://schemas.microsoft.com/office/excel/2006/main">
          <x14:cfRule type="containsText" priority="283" stopIfTrue="1" operator="containsText" id="{09FDE9F8-E050-AD4D-B444-541613B83F9B}">
            <xm:f>NOT(ISERROR(SEARCH("-",M391)))</xm:f>
            <xm:f>"-"</xm:f>
            <x14:dxf/>
          </x14:cfRule>
          <xm:sqref>M391</xm:sqref>
        </x14:conditionalFormatting>
        <x14:conditionalFormatting xmlns:xm="http://schemas.microsoft.com/office/excel/2006/main">
          <x14:cfRule type="containsText" priority="284" stopIfTrue="1" operator="containsText" id="{A32303D3-1D6D-B44A-A51E-F502579492DD}">
            <xm:f>NOT(ISERROR(SEARCH("-",M393)))</xm:f>
            <xm:f>"-"</xm:f>
            <x14:dxf/>
          </x14:cfRule>
          <xm:sqref>M393</xm:sqref>
        </x14:conditionalFormatting>
        <x14:conditionalFormatting xmlns:xm="http://schemas.microsoft.com/office/excel/2006/main">
          <x14:cfRule type="containsText" priority="282" stopIfTrue="1" operator="containsText" id="{7E86DE78-5677-FE45-A4BD-0EB00648881E}">
            <xm:f>NOT(ISERROR(SEARCH("-",M395)))</xm:f>
            <xm:f>"-"</xm:f>
            <x14:dxf/>
          </x14:cfRule>
          <xm:sqref>M395</xm:sqref>
        </x14:conditionalFormatting>
        <x14:conditionalFormatting xmlns:xm="http://schemas.microsoft.com/office/excel/2006/main">
          <x14:cfRule type="containsText" priority="281" stopIfTrue="1" operator="containsText" id="{2B3C474F-60C3-7E4A-ACF6-2A7DD0B1F906}">
            <xm:f>NOT(ISERROR(SEARCH("-",M397)))</xm:f>
            <xm:f>"-"</xm:f>
            <x14:dxf/>
          </x14:cfRule>
          <xm:sqref>M397</xm:sqref>
        </x14:conditionalFormatting>
        <x14:conditionalFormatting xmlns:xm="http://schemas.microsoft.com/office/excel/2006/main">
          <x14:cfRule type="containsText" priority="279" stopIfTrue="1" operator="containsText" id="{8C7438D9-C566-C542-8867-60B4263C51AD}">
            <xm:f>NOT(ISERROR(SEARCH("-",M401)))</xm:f>
            <xm:f>"-"</xm:f>
            <x14:dxf/>
          </x14:cfRule>
          <xm:sqref>M401</xm:sqref>
        </x14:conditionalFormatting>
        <x14:conditionalFormatting xmlns:xm="http://schemas.microsoft.com/office/excel/2006/main">
          <x14:cfRule type="containsText" priority="280" stopIfTrue="1" operator="containsText" id="{B1AA1B7B-7AD3-9D4F-8C8B-9922D6FC4380}">
            <xm:f>NOT(ISERROR(SEARCH("-",M403)))</xm:f>
            <xm:f>"-"</xm:f>
            <x14:dxf/>
          </x14:cfRule>
          <xm:sqref>M403</xm:sqref>
        </x14:conditionalFormatting>
        <x14:conditionalFormatting xmlns:xm="http://schemas.microsoft.com/office/excel/2006/main">
          <x14:cfRule type="containsText" priority="278" stopIfTrue="1" operator="containsText" id="{FC230828-5C54-D74C-93B0-98C48E10B9B4}">
            <xm:f>NOT(ISERROR(SEARCH("-",M405)))</xm:f>
            <xm:f>"-"</xm:f>
            <x14:dxf/>
          </x14:cfRule>
          <xm:sqref>M405</xm:sqref>
        </x14:conditionalFormatting>
        <x14:conditionalFormatting xmlns:xm="http://schemas.microsoft.com/office/excel/2006/main">
          <x14:cfRule type="containsText" priority="277" stopIfTrue="1" operator="containsText" id="{D4949556-1135-4848-A318-FB2D58A0BA11}">
            <xm:f>NOT(ISERROR(SEARCH("-",M407)))</xm:f>
            <xm:f>"-"</xm:f>
            <x14:dxf/>
          </x14:cfRule>
          <xm:sqref>M407</xm:sqref>
        </x14:conditionalFormatting>
        <x14:conditionalFormatting xmlns:xm="http://schemas.microsoft.com/office/excel/2006/main">
          <x14:cfRule type="containsText" priority="275" stopIfTrue="1" operator="containsText" id="{AFFBB552-E08E-1048-892E-63C2CCB30E4A}">
            <xm:f>NOT(ISERROR(SEARCH("-",M411)))</xm:f>
            <xm:f>"-"</xm:f>
            <x14:dxf/>
          </x14:cfRule>
          <xm:sqref>M411</xm:sqref>
        </x14:conditionalFormatting>
        <x14:conditionalFormatting xmlns:xm="http://schemas.microsoft.com/office/excel/2006/main">
          <x14:cfRule type="containsText" priority="276" stopIfTrue="1" operator="containsText" id="{0DC45EC2-0E0B-7548-93E0-C5349D993C74}">
            <xm:f>NOT(ISERROR(SEARCH("-",M413)))</xm:f>
            <xm:f>"-"</xm:f>
            <x14:dxf/>
          </x14:cfRule>
          <xm:sqref>M413</xm:sqref>
        </x14:conditionalFormatting>
        <x14:conditionalFormatting xmlns:xm="http://schemas.microsoft.com/office/excel/2006/main">
          <x14:cfRule type="containsText" priority="274" stopIfTrue="1" operator="containsText" id="{DBD459E4-E600-9C4F-8C0F-6B25E3BE2ADD}">
            <xm:f>NOT(ISERROR(SEARCH("-",M415)))</xm:f>
            <xm:f>"-"</xm:f>
            <x14:dxf/>
          </x14:cfRule>
          <xm:sqref>M415</xm:sqref>
        </x14:conditionalFormatting>
        <x14:conditionalFormatting xmlns:xm="http://schemas.microsoft.com/office/excel/2006/main">
          <x14:cfRule type="containsText" priority="273" stopIfTrue="1" operator="containsText" id="{2A30B415-FF39-E34E-8B2C-0CA3A58643AA}">
            <xm:f>NOT(ISERROR(SEARCH("-",M417)))</xm:f>
            <xm:f>"-"</xm:f>
            <x14:dxf/>
          </x14:cfRule>
          <xm:sqref>M417</xm:sqref>
        </x14:conditionalFormatting>
        <x14:conditionalFormatting xmlns:xm="http://schemas.microsoft.com/office/excel/2006/main">
          <x14:cfRule type="containsText" priority="271" stopIfTrue="1" operator="containsText" id="{0F016276-C73A-664E-97D5-88DAD5DF10E2}">
            <xm:f>NOT(ISERROR(SEARCH("-",M421)))</xm:f>
            <xm:f>"-"</xm:f>
            <x14:dxf/>
          </x14:cfRule>
          <xm:sqref>M421</xm:sqref>
        </x14:conditionalFormatting>
        <x14:conditionalFormatting xmlns:xm="http://schemas.microsoft.com/office/excel/2006/main">
          <x14:cfRule type="containsText" priority="272" stopIfTrue="1" operator="containsText" id="{C162215D-1CBF-BB41-9D66-8F9B4D5545F1}">
            <xm:f>NOT(ISERROR(SEARCH("-",M423)))</xm:f>
            <xm:f>"-"</xm:f>
            <x14:dxf/>
          </x14:cfRule>
          <xm:sqref>M423</xm:sqref>
        </x14:conditionalFormatting>
        <x14:conditionalFormatting xmlns:xm="http://schemas.microsoft.com/office/excel/2006/main">
          <x14:cfRule type="containsText" priority="270" stopIfTrue="1" operator="containsText" id="{1028846C-6BB3-1F41-A3ED-A9E743CEBE95}">
            <xm:f>NOT(ISERROR(SEARCH("-",M425)))</xm:f>
            <xm:f>"-"</xm:f>
            <x14:dxf/>
          </x14:cfRule>
          <xm:sqref>M425</xm:sqref>
        </x14:conditionalFormatting>
        <x14:conditionalFormatting xmlns:xm="http://schemas.microsoft.com/office/excel/2006/main">
          <x14:cfRule type="containsText" priority="269" stopIfTrue="1" operator="containsText" id="{99AAC00A-061B-1B47-A8ED-D95E6A260E22}">
            <xm:f>NOT(ISERROR(SEARCH("-",M427)))</xm:f>
            <xm:f>"-"</xm:f>
            <x14:dxf/>
          </x14:cfRule>
          <xm:sqref>M427</xm:sqref>
        </x14:conditionalFormatting>
        <x14:conditionalFormatting xmlns:xm="http://schemas.microsoft.com/office/excel/2006/main">
          <x14:cfRule type="containsText" priority="267" stopIfTrue="1" operator="containsText" id="{1117D191-AC29-DD40-945B-EDB503B94743}">
            <xm:f>NOT(ISERROR(SEARCH("-",M431)))</xm:f>
            <xm:f>"-"</xm:f>
            <x14:dxf/>
          </x14:cfRule>
          <xm:sqref>M431</xm:sqref>
        </x14:conditionalFormatting>
        <x14:conditionalFormatting xmlns:xm="http://schemas.microsoft.com/office/excel/2006/main">
          <x14:cfRule type="containsText" priority="268" stopIfTrue="1" operator="containsText" id="{A6725B3A-2600-534D-B5DC-55449F8A9142}">
            <xm:f>NOT(ISERROR(SEARCH("-",M433)))</xm:f>
            <xm:f>"-"</xm:f>
            <x14:dxf/>
          </x14:cfRule>
          <xm:sqref>M433</xm:sqref>
        </x14:conditionalFormatting>
        <x14:conditionalFormatting xmlns:xm="http://schemas.microsoft.com/office/excel/2006/main">
          <x14:cfRule type="containsText" priority="266" stopIfTrue="1" operator="containsText" id="{A0938688-A989-9A4D-BD38-C280FE3BAF87}">
            <xm:f>NOT(ISERROR(SEARCH("-",M435)))</xm:f>
            <xm:f>"-"</xm:f>
            <x14:dxf/>
          </x14:cfRule>
          <xm:sqref>M435</xm:sqref>
        </x14:conditionalFormatting>
        <x14:conditionalFormatting xmlns:xm="http://schemas.microsoft.com/office/excel/2006/main">
          <x14:cfRule type="containsText" priority="265" stopIfTrue="1" operator="containsText" id="{C25EF68A-73C0-BB45-A1C6-EA1816838025}">
            <xm:f>NOT(ISERROR(SEARCH("-",M437)))</xm:f>
            <xm:f>"-"</xm:f>
            <x14:dxf/>
          </x14:cfRule>
          <xm:sqref>M437</xm:sqref>
        </x14:conditionalFormatting>
        <x14:conditionalFormatting xmlns:xm="http://schemas.microsoft.com/office/excel/2006/main">
          <x14:cfRule type="containsText" priority="263" stopIfTrue="1" operator="containsText" id="{9F3D7578-5751-5446-9E19-DB2E1489758F}">
            <xm:f>NOT(ISERROR(SEARCH("-",M441)))</xm:f>
            <xm:f>"-"</xm:f>
            <x14:dxf/>
          </x14:cfRule>
          <xm:sqref>M441</xm:sqref>
        </x14:conditionalFormatting>
        <x14:conditionalFormatting xmlns:xm="http://schemas.microsoft.com/office/excel/2006/main">
          <x14:cfRule type="containsText" priority="264" stopIfTrue="1" operator="containsText" id="{C29C6D5B-9AB5-0F4D-AB72-5CBBB2449D90}">
            <xm:f>NOT(ISERROR(SEARCH("-",M443)))</xm:f>
            <xm:f>"-"</xm:f>
            <x14:dxf/>
          </x14:cfRule>
          <xm:sqref>M443</xm:sqref>
        </x14:conditionalFormatting>
        <x14:conditionalFormatting xmlns:xm="http://schemas.microsoft.com/office/excel/2006/main">
          <x14:cfRule type="containsText" priority="262" stopIfTrue="1" operator="containsText" id="{AF9FFB08-E093-324F-A703-9E452792DD74}">
            <xm:f>NOT(ISERROR(SEARCH("-",M445)))</xm:f>
            <xm:f>"-"</xm:f>
            <x14:dxf/>
          </x14:cfRule>
          <xm:sqref>M445</xm:sqref>
        </x14:conditionalFormatting>
        <x14:conditionalFormatting xmlns:xm="http://schemas.microsoft.com/office/excel/2006/main">
          <x14:cfRule type="containsText" priority="261" stopIfTrue="1" operator="containsText" id="{B3CE0B93-D4AD-4C4A-A40B-10F554FC9086}">
            <xm:f>NOT(ISERROR(SEARCH("-",M447)))</xm:f>
            <xm:f>"-"</xm:f>
            <x14:dxf/>
          </x14:cfRule>
          <xm:sqref>M447</xm:sqref>
        </x14:conditionalFormatting>
        <x14:conditionalFormatting xmlns:xm="http://schemas.microsoft.com/office/excel/2006/main">
          <x14:cfRule type="containsText" priority="259" stopIfTrue="1" operator="containsText" id="{4913D2BD-0087-194C-BBA3-50B4EC8C5D42}">
            <xm:f>NOT(ISERROR(SEARCH("-",M451)))</xm:f>
            <xm:f>"-"</xm:f>
            <x14:dxf/>
          </x14:cfRule>
          <xm:sqref>M451</xm:sqref>
        </x14:conditionalFormatting>
        <x14:conditionalFormatting xmlns:xm="http://schemas.microsoft.com/office/excel/2006/main">
          <x14:cfRule type="containsText" priority="260" stopIfTrue="1" operator="containsText" id="{6D45EACB-AC25-A944-B9C6-F3600A95A0DB}">
            <xm:f>NOT(ISERROR(SEARCH("-",M453)))</xm:f>
            <xm:f>"-"</xm:f>
            <x14:dxf/>
          </x14:cfRule>
          <xm:sqref>M453</xm:sqref>
        </x14:conditionalFormatting>
        <x14:conditionalFormatting xmlns:xm="http://schemas.microsoft.com/office/excel/2006/main">
          <x14:cfRule type="containsText" priority="258" stopIfTrue="1" operator="containsText" id="{A6837206-6FF7-C048-AC96-EAD6B42CA45A}">
            <xm:f>NOT(ISERROR(SEARCH("-",M455)))</xm:f>
            <xm:f>"-"</xm:f>
            <x14:dxf/>
          </x14:cfRule>
          <xm:sqref>M455</xm:sqref>
        </x14:conditionalFormatting>
        <x14:conditionalFormatting xmlns:xm="http://schemas.microsoft.com/office/excel/2006/main">
          <x14:cfRule type="containsText" priority="257" stopIfTrue="1" operator="containsText" id="{C890131A-0935-0548-90AA-1C5022846D5E}">
            <xm:f>NOT(ISERROR(SEARCH("-",M457)))</xm:f>
            <xm:f>"-"</xm:f>
            <x14:dxf/>
          </x14:cfRule>
          <xm:sqref>M457</xm:sqref>
        </x14:conditionalFormatting>
        <x14:conditionalFormatting xmlns:xm="http://schemas.microsoft.com/office/excel/2006/main">
          <x14:cfRule type="containsText" priority="255" stopIfTrue="1" operator="containsText" id="{14FBBF6E-B2C3-6640-B552-0EF8D8130283}">
            <xm:f>NOT(ISERROR(SEARCH("-",M461)))</xm:f>
            <xm:f>"-"</xm:f>
            <x14:dxf/>
          </x14:cfRule>
          <xm:sqref>M461</xm:sqref>
        </x14:conditionalFormatting>
        <x14:conditionalFormatting xmlns:xm="http://schemas.microsoft.com/office/excel/2006/main">
          <x14:cfRule type="containsText" priority="256" stopIfTrue="1" operator="containsText" id="{EC47F498-3479-1D4A-9A24-B64E408056DE}">
            <xm:f>NOT(ISERROR(SEARCH("-",M463)))</xm:f>
            <xm:f>"-"</xm:f>
            <x14:dxf/>
          </x14:cfRule>
          <xm:sqref>M463</xm:sqref>
        </x14:conditionalFormatting>
        <x14:conditionalFormatting xmlns:xm="http://schemas.microsoft.com/office/excel/2006/main">
          <x14:cfRule type="containsText" priority="254" stopIfTrue="1" operator="containsText" id="{18EBF8B6-A4B5-1545-BDD2-2705466480ED}">
            <xm:f>NOT(ISERROR(SEARCH("-",M465)))</xm:f>
            <xm:f>"-"</xm:f>
            <x14:dxf/>
          </x14:cfRule>
          <xm:sqref>M465</xm:sqref>
        </x14:conditionalFormatting>
        <x14:conditionalFormatting xmlns:xm="http://schemas.microsoft.com/office/excel/2006/main">
          <x14:cfRule type="containsText" priority="253" stopIfTrue="1" operator="containsText" id="{172AFC51-0719-684E-B38B-C237B81498CC}">
            <xm:f>NOT(ISERROR(SEARCH("-",M467)))</xm:f>
            <xm:f>"-"</xm:f>
            <x14:dxf/>
          </x14:cfRule>
          <xm:sqref>M467</xm:sqref>
        </x14:conditionalFormatting>
        <x14:conditionalFormatting xmlns:xm="http://schemas.microsoft.com/office/excel/2006/main">
          <x14:cfRule type="containsText" priority="251" stopIfTrue="1" operator="containsText" id="{63225C3F-834E-4642-BA07-FB638567DA4E}">
            <xm:f>NOT(ISERROR(SEARCH("-",M471)))</xm:f>
            <xm:f>"-"</xm:f>
            <x14:dxf/>
          </x14:cfRule>
          <xm:sqref>M471</xm:sqref>
        </x14:conditionalFormatting>
        <x14:conditionalFormatting xmlns:xm="http://schemas.microsoft.com/office/excel/2006/main">
          <x14:cfRule type="containsText" priority="252" stopIfTrue="1" operator="containsText" id="{2F2C4E40-0545-B243-A2D2-F477C4DDDFCB}">
            <xm:f>NOT(ISERROR(SEARCH("-",M473)))</xm:f>
            <xm:f>"-"</xm:f>
            <x14:dxf/>
          </x14:cfRule>
          <xm:sqref>M473</xm:sqref>
        </x14:conditionalFormatting>
        <x14:conditionalFormatting xmlns:xm="http://schemas.microsoft.com/office/excel/2006/main">
          <x14:cfRule type="containsText" priority="250" stopIfTrue="1" operator="containsText" id="{6B446F4F-7EF9-434C-8F34-08F41DE4A408}">
            <xm:f>NOT(ISERROR(SEARCH("-",M475)))</xm:f>
            <xm:f>"-"</xm:f>
            <x14:dxf/>
          </x14:cfRule>
          <xm:sqref>M475</xm:sqref>
        </x14:conditionalFormatting>
        <x14:conditionalFormatting xmlns:xm="http://schemas.microsoft.com/office/excel/2006/main">
          <x14:cfRule type="containsText" priority="249" stopIfTrue="1" operator="containsText" id="{B6048FA6-077C-1047-B242-8C8ACC051E3E}">
            <xm:f>NOT(ISERROR(SEARCH("-",M477)))</xm:f>
            <xm:f>"-"</xm:f>
            <x14:dxf/>
          </x14:cfRule>
          <xm:sqref>M477</xm:sqref>
        </x14:conditionalFormatting>
        <x14:conditionalFormatting xmlns:xm="http://schemas.microsoft.com/office/excel/2006/main">
          <x14:cfRule type="containsText" priority="247" stopIfTrue="1" operator="containsText" id="{1B6E51C3-B75A-994F-93B0-9ACAEAD9D05F}">
            <xm:f>NOT(ISERROR(SEARCH("-",M481)))</xm:f>
            <xm:f>"-"</xm:f>
            <x14:dxf/>
          </x14:cfRule>
          <xm:sqref>M481</xm:sqref>
        </x14:conditionalFormatting>
        <x14:conditionalFormatting xmlns:xm="http://schemas.microsoft.com/office/excel/2006/main">
          <x14:cfRule type="containsText" priority="248" stopIfTrue="1" operator="containsText" id="{F5685E0D-46E9-9B49-8569-8C34751F42BC}">
            <xm:f>NOT(ISERROR(SEARCH("-",M483)))</xm:f>
            <xm:f>"-"</xm:f>
            <x14:dxf/>
          </x14:cfRule>
          <xm:sqref>M483</xm:sqref>
        </x14:conditionalFormatting>
        <x14:conditionalFormatting xmlns:xm="http://schemas.microsoft.com/office/excel/2006/main">
          <x14:cfRule type="containsText" priority="246" stopIfTrue="1" operator="containsText" id="{0AD4C636-2288-124C-B33D-525C61A7599E}">
            <xm:f>NOT(ISERROR(SEARCH("-",M485)))</xm:f>
            <xm:f>"-"</xm:f>
            <x14:dxf/>
          </x14:cfRule>
          <xm:sqref>M485</xm:sqref>
        </x14:conditionalFormatting>
        <x14:conditionalFormatting xmlns:xm="http://schemas.microsoft.com/office/excel/2006/main">
          <x14:cfRule type="containsText" priority="245" stopIfTrue="1" operator="containsText" id="{47EF2D3A-6E8A-8B44-8E97-C70FF51836CC}">
            <xm:f>NOT(ISERROR(SEARCH("-",M487)))</xm:f>
            <xm:f>"-"</xm:f>
            <x14:dxf/>
          </x14:cfRule>
          <xm:sqref>M487</xm:sqref>
        </x14:conditionalFormatting>
        <x14:conditionalFormatting xmlns:xm="http://schemas.microsoft.com/office/excel/2006/main">
          <x14:cfRule type="containsText" priority="243" stopIfTrue="1" operator="containsText" id="{EDC39869-F76E-2641-854A-7AF6885BE535}">
            <xm:f>NOT(ISERROR(SEARCH("-",M491)))</xm:f>
            <xm:f>"-"</xm:f>
            <x14:dxf/>
          </x14:cfRule>
          <xm:sqref>M491</xm:sqref>
        </x14:conditionalFormatting>
        <x14:conditionalFormatting xmlns:xm="http://schemas.microsoft.com/office/excel/2006/main">
          <x14:cfRule type="containsText" priority="244" stopIfTrue="1" operator="containsText" id="{34CC0ACB-F1DF-C64F-836A-37B37A3E4FE4}">
            <xm:f>NOT(ISERROR(SEARCH("-",M493)))</xm:f>
            <xm:f>"-"</xm:f>
            <x14:dxf/>
          </x14:cfRule>
          <xm:sqref>M493</xm:sqref>
        </x14:conditionalFormatting>
        <x14:conditionalFormatting xmlns:xm="http://schemas.microsoft.com/office/excel/2006/main">
          <x14:cfRule type="containsText" priority="242" stopIfTrue="1" operator="containsText" id="{78F139E8-B7E5-A847-B76C-2DF0EB652A8A}">
            <xm:f>NOT(ISERROR(SEARCH("-",M495)))</xm:f>
            <xm:f>"-"</xm:f>
            <x14:dxf/>
          </x14:cfRule>
          <xm:sqref>M495</xm:sqref>
        </x14:conditionalFormatting>
        <x14:conditionalFormatting xmlns:xm="http://schemas.microsoft.com/office/excel/2006/main">
          <x14:cfRule type="containsText" priority="241" stopIfTrue="1" operator="containsText" id="{60609DF9-288F-D549-BFEE-63A24B05479E}">
            <xm:f>NOT(ISERROR(SEARCH("-",M497)))</xm:f>
            <xm:f>"-"</xm:f>
            <x14:dxf/>
          </x14:cfRule>
          <xm:sqref>M497</xm:sqref>
        </x14:conditionalFormatting>
        <x14:conditionalFormatting xmlns:xm="http://schemas.microsoft.com/office/excel/2006/main">
          <x14:cfRule type="containsText" priority="191" stopIfTrue="1" operator="containsText" id="{3D05A0B7-4FCA-6246-94E0-E343C4CB2914}">
            <xm:f>NOT(ISERROR(SEARCH("-",M501)))</xm:f>
            <xm:f>"-"</xm:f>
            <x14:dxf/>
          </x14:cfRule>
          <xm:sqref>M501</xm:sqref>
        </x14:conditionalFormatting>
        <x14:conditionalFormatting xmlns:xm="http://schemas.microsoft.com/office/excel/2006/main">
          <x14:cfRule type="containsText" priority="192" stopIfTrue="1" operator="containsText" id="{E7D0FBAE-1622-524B-A832-5DDE288904D0}">
            <xm:f>NOT(ISERROR(SEARCH("-",M503)))</xm:f>
            <xm:f>"-"</xm:f>
            <x14:dxf/>
          </x14:cfRule>
          <xm:sqref>M503</xm:sqref>
        </x14:conditionalFormatting>
        <x14:conditionalFormatting xmlns:xm="http://schemas.microsoft.com/office/excel/2006/main">
          <x14:cfRule type="containsText" priority="190" stopIfTrue="1" operator="containsText" id="{F7B8ACE0-25C1-A340-AFC7-D51B2064C2FA}">
            <xm:f>NOT(ISERROR(SEARCH("-",M505)))</xm:f>
            <xm:f>"-"</xm:f>
            <x14:dxf/>
          </x14:cfRule>
          <xm:sqref>M505</xm:sqref>
        </x14:conditionalFormatting>
        <x14:conditionalFormatting xmlns:xm="http://schemas.microsoft.com/office/excel/2006/main">
          <x14:cfRule type="containsText" priority="189" stopIfTrue="1" operator="containsText" id="{EBE685AC-C162-2643-B78E-44E3394F080B}">
            <xm:f>NOT(ISERROR(SEARCH("-",M507)))</xm:f>
            <xm:f>"-"</xm:f>
            <x14:dxf/>
          </x14:cfRule>
          <xm:sqref>M507</xm:sqref>
        </x14:conditionalFormatting>
        <x14:conditionalFormatting xmlns:xm="http://schemas.microsoft.com/office/excel/2006/main">
          <x14:cfRule type="containsText" priority="235" stopIfTrue="1" operator="containsText" id="{B53FA1E3-317A-ED4D-ABF7-F0B0E1B27BFE}">
            <xm:f>NOT(ISERROR(SEARCH("-",M511)))</xm:f>
            <xm:f>"-"</xm:f>
            <x14:dxf/>
          </x14:cfRule>
          <xm:sqref>M511</xm:sqref>
        </x14:conditionalFormatting>
        <x14:conditionalFormatting xmlns:xm="http://schemas.microsoft.com/office/excel/2006/main">
          <x14:cfRule type="containsText" priority="236" stopIfTrue="1" operator="containsText" id="{9CD53EE6-66C7-E446-BF27-AA25643CC017}">
            <xm:f>NOT(ISERROR(SEARCH("-",M513)))</xm:f>
            <xm:f>"-"</xm:f>
            <x14:dxf/>
          </x14:cfRule>
          <xm:sqref>M513</xm:sqref>
        </x14:conditionalFormatting>
        <x14:conditionalFormatting xmlns:xm="http://schemas.microsoft.com/office/excel/2006/main">
          <x14:cfRule type="containsText" priority="234" stopIfTrue="1" operator="containsText" id="{58E5D21E-ACC1-6A4E-AFF3-EBC876247196}">
            <xm:f>NOT(ISERROR(SEARCH("-",M515)))</xm:f>
            <xm:f>"-"</xm:f>
            <x14:dxf/>
          </x14:cfRule>
          <xm:sqref>M515</xm:sqref>
        </x14:conditionalFormatting>
        <x14:conditionalFormatting xmlns:xm="http://schemas.microsoft.com/office/excel/2006/main">
          <x14:cfRule type="containsText" priority="233" stopIfTrue="1" operator="containsText" id="{037D9184-1B03-254F-8059-6CEDC30CD155}">
            <xm:f>NOT(ISERROR(SEARCH("-",M517)))</xm:f>
            <xm:f>"-"</xm:f>
            <x14:dxf/>
          </x14:cfRule>
          <xm:sqref>M517</xm:sqref>
        </x14:conditionalFormatting>
        <x14:conditionalFormatting xmlns:xm="http://schemas.microsoft.com/office/excel/2006/main">
          <x14:cfRule type="containsText" priority="231" stopIfTrue="1" operator="containsText" id="{20A070A2-54A8-C347-88F5-CE2379FADB36}">
            <xm:f>NOT(ISERROR(SEARCH("-",M521)))</xm:f>
            <xm:f>"-"</xm:f>
            <x14:dxf/>
          </x14:cfRule>
          <xm:sqref>M521</xm:sqref>
        </x14:conditionalFormatting>
        <x14:conditionalFormatting xmlns:xm="http://schemas.microsoft.com/office/excel/2006/main">
          <x14:cfRule type="containsText" priority="232" stopIfTrue="1" operator="containsText" id="{25C7914E-DB72-CF40-A195-FDA12B05BF3D}">
            <xm:f>NOT(ISERROR(SEARCH("-",M523)))</xm:f>
            <xm:f>"-"</xm:f>
            <x14:dxf/>
          </x14:cfRule>
          <xm:sqref>M523</xm:sqref>
        </x14:conditionalFormatting>
        <x14:conditionalFormatting xmlns:xm="http://schemas.microsoft.com/office/excel/2006/main">
          <x14:cfRule type="containsText" priority="230" stopIfTrue="1" operator="containsText" id="{2499799F-4208-9948-A8D9-23F45614A7A9}">
            <xm:f>NOT(ISERROR(SEARCH("-",M525)))</xm:f>
            <xm:f>"-"</xm:f>
            <x14:dxf/>
          </x14:cfRule>
          <xm:sqref>M525</xm:sqref>
        </x14:conditionalFormatting>
        <x14:conditionalFormatting xmlns:xm="http://schemas.microsoft.com/office/excel/2006/main">
          <x14:cfRule type="containsText" priority="229" stopIfTrue="1" operator="containsText" id="{B994D42B-55D0-4543-9D37-FDC83A8862C7}">
            <xm:f>NOT(ISERROR(SEARCH("-",M527)))</xm:f>
            <xm:f>"-"</xm:f>
            <x14:dxf/>
          </x14:cfRule>
          <xm:sqref>M527</xm:sqref>
        </x14:conditionalFormatting>
        <x14:conditionalFormatting xmlns:xm="http://schemas.microsoft.com/office/excel/2006/main">
          <x14:cfRule type="containsText" priority="227" stopIfTrue="1" operator="containsText" id="{2DA531D2-40D2-8645-B54C-C5C6D80ADCF5}">
            <xm:f>NOT(ISERROR(SEARCH("-",M531)))</xm:f>
            <xm:f>"-"</xm:f>
            <x14:dxf/>
          </x14:cfRule>
          <xm:sqref>M531</xm:sqref>
        </x14:conditionalFormatting>
        <x14:conditionalFormatting xmlns:xm="http://schemas.microsoft.com/office/excel/2006/main">
          <x14:cfRule type="containsText" priority="228" stopIfTrue="1" operator="containsText" id="{F262B439-E599-BA48-95E8-A4130E9508C0}">
            <xm:f>NOT(ISERROR(SEARCH("-",M533)))</xm:f>
            <xm:f>"-"</xm:f>
            <x14:dxf/>
          </x14:cfRule>
          <xm:sqref>M533</xm:sqref>
        </x14:conditionalFormatting>
        <x14:conditionalFormatting xmlns:xm="http://schemas.microsoft.com/office/excel/2006/main">
          <x14:cfRule type="containsText" priority="226" stopIfTrue="1" operator="containsText" id="{1B0E53B8-6EF2-E641-B149-C9788F4EE5E4}">
            <xm:f>NOT(ISERROR(SEARCH("-",M535)))</xm:f>
            <xm:f>"-"</xm:f>
            <x14:dxf/>
          </x14:cfRule>
          <xm:sqref>M535</xm:sqref>
        </x14:conditionalFormatting>
        <x14:conditionalFormatting xmlns:xm="http://schemas.microsoft.com/office/excel/2006/main">
          <x14:cfRule type="containsText" priority="225" stopIfTrue="1" operator="containsText" id="{850BB59E-8D44-FF48-BC4D-6280F766412D}">
            <xm:f>NOT(ISERROR(SEARCH("-",M537)))</xm:f>
            <xm:f>"-"</xm:f>
            <x14:dxf/>
          </x14:cfRule>
          <xm:sqref>M537</xm:sqref>
        </x14:conditionalFormatting>
        <x14:conditionalFormatting xmlns:xm="http://schemas.microsoft.com/office/excel/2006/main">
          <x14:cfRule type="containsText" priority="223" stopIfTrue="1" operator="containsText" id="{4675C95C-8200-3843-A933-6E34CDA99083}">
            <xm:f>NOT(ISERROR(SEARCH("-",M541)))</xm:f>
            <xm:f>"-"</xm:f>
            <x14:dxf/>
          </x14:cfRule>
          <xm:sqref>M541</xm:sqref>
        </x14:conditionalFormatting>
        <x14:conditionalFormatting xmlns:xm="http://schemas.microsoft.com/office/excel/2006/main">
          <x14:cfRule type="containsText" priority="224" stopIfTrue="1" operator="containsText" id="{E32AD23A-5E03-E54C-A0AD-BF844CA9158A}">
            <xm:f>NOT(ISERROR(SEARCH("-",M543)))</xm:f>
            <xm:f>"-"</xm:f>
            <x14:dxf/>
          </x14:cfRule>
          <xm:sqref>M543</xm:sqref>
        </x14:conditionalFormatting>
        <x14:conditionalFormatting xmlns:xm="http://schemas.microsoft.com/office/excel/2006/main">
          <x14:cfRule type="containsText" priority="222" stopIfTrue="1" operator="containsText" id="{4016A860-BC83-9849-AD14-30DC2C783DB7}">
            <xm:f>NOT(ISERROR(SEARCH("-",M545)))</xm:f>
            <xm:f>"-"</xm:f>
            <x14:dxf/>
          </x14:cfRule>
          <xm:sqref>M545</xm:sqref>
        </x14:conditionalFormatting>
        <x14:conditionalFormatting xmlns:xm="http://schemas.microsoft.com/office/excel/2006/main">
          <x14:cfRule type="containsText" priority="221" stopIfTrue="1" operator="containsText" id="{574C2348-C4BD-2E49-A067-BBA84A1C6417}">
            <xm:f>NOT(ISERROR(SEARCH("-",M547)))</xm:f>
            <xm:f>"-"</xm:f>
            <x14:dxf/>
          </x14:cfRule>
          <xm:sqref>M547</xm:sqref>
        </x14:conditionalFormatting>
        <x14:conditionalFormatting xmlns:xm="http://schemas.microsoft.com/office/excel/2006/main">
          <x14:cfRule type="containsText" priority="219" stopIfTrue="1" operator="containsText" id="{E18A1D1D-7C7C-A848-85E6-18D45E04D33B}">
            <xm:f>NOT(ISERROR(SEARCH("-",M551)))</xm:f>
            <xm:f>"-"</xm:f>
            <x14:dxf/>
          </x14:cfRule>
          <xm:sqref>M551</xm:sqref>
        </x14:conditionalFormatting>
        <x14:conditionalFormatting xmlns:xm="http://schemas.microsoft.com/office/excel/2006/main">
          <x14:cfRule type="containsText" priority="220" stopIfTrue="1" operator="containsText" id="{075B482A-9893-4447-BE51-AB622C626525}">
            <xm:f>NOT(ISERROR(SEARCH("-",M553)))</xm:f>
            <xm:f>"-"</xm:f>
            <x14:dxf/>
          </x14:cfRule>
          <xm:sqref>M553</xm:sqref>
        </x14:conditionalFormatting>
        <x14:conditionalFormatting xmlns:xm="http://schemas.microsoft.com/office/excel/2006/main">
          <x14:cfRule type="containsText" priority="218" stopIfTrue="1" operator="containsText" id="{39A86F45-EE69-A54B-8F7F-4758DC8B58AC}">
            <xm:f>NOT(ISERROR(SEARCH("-",M555)))</xm:f>
            <xm:f>"-"</xm:f>
            <x14:dxf/>
          </x14:cfRule>
          <xm:sqref>M555</xm:sqref>
        </x14:conditionalFormatting>
        <x14:conditionalFormatting xmlns:xm="http://schemas.microsoft.com/office/excel/2006/main">
          <x14:cfRule type="containsText" priority="217" stopIfTrue="1" operator="containsText" id="{F0A1FDBC-920E-7C43-AEE4-579561F9CB0F}">
            <xm:f>NOT(ISERROR(SEARCH("-",M557)))</xm:f>
            <xm:f>"-"</xm:f>
            <x14:dxf/>
          </x14:cfRule>
          <xm:sqref>M557</xm:sqref>
        </x14:conditionalFormatting>
        <x14:conditionalFormatting xmlns:xm="http://schemas.microsoft.com/office/excel/2006/main">
          <x14:cfRule type="containsText" priority="215" stopIfTrue="1" operator="containsText" id="{41577F6F-AC84-DB49-B9DC-A1D944938234}">
            <xm:f>NOT(ISERROR(SEARCH("-",M561)))</xm:f>
            <xm:f>"-"</xm:f>
            <x14:dxf/>
          </x14:cfRule>
          <xm:sqref>M561</xm:sqref>
        </x14:conditionalFormatting>
        <x14:conditionalFormatting xmlns:xm="http://schemas.microsoft.com/office/excel/2006/main">
          <x14:cfRule type="containsText" priority="216" stopIfTrue="1" operator="containsText" id="{EA4B1895-D5B6-774E-AFDB-8C6A6231F8F5}">
            <xm:f>NOT(ISERROR(SEARCH("-",M563)))</xm:f>
            <xm:f>"-"</xm:f>
            <x14:dxf/>
          </x14:cfRule>
          <xm:sqref>M563</xm:sqref>
        </x14:conditionalFormatting>
        <x14:conditionalFormatting xmlns:xm="http://schemas.microsoft.com/office/excel/2006/main">
          <x14:cfRule type="containsText" priority="214" stopIfTrue="1" operator="containsText" id="{5A610275-E32B-0142-9F35-562CC07BA634}">
            <xm:f>NOT(ISERROR(SEARCH("-",M565)))</xm:f>
            <xm:f>"-"</xm:f>
            <x14:dxf/>
          </x14:cfRule>
          <xm:sqref>M565</xm:sqref>
        </x14:conditionalFormatting>
        <x14:conditionalFormatting xmlns:xm="http://schemas.microsoft.com/office/excel/2006/main">
          <x14:cfRule type="containsText" priority="213" stopIfTrue="1" operator="containsText" id="{C2000AD3-BB5D-C24B-A066-657270A13D1B}">
            <xm:f>NOT(ISERROR(SEARCH("-",M567)))</xm:f>
            <xm:f>"-"</xm:f>
            <x14:dxf/>
          </x14:cfRule>
          <xm:sqref>M567</xm:sqref>
        </x14:conditionalFormatting>
        <x14:conditionalFormatting xmlns:xm="http://schemas.microsoft.com/office/excel/2006/main">
          <x14:cfRule type="containsText" priority="211" stopIfTrue="1" operator="containsText" id="{319A46AD-BD8C-B341-A93E-5AF6EA7E477C}">
            <xm:f>NOT(ISERROR(SEARCH("-",M571)))</xm:f>
            <xm:f>"-"</xm:f>
            <x14:dxf/>
          </x14:cfRule>
          <xm:sqref>M571</xm:sqref>
        </x14:conditionalFormatting>
        <x14:conditionalFormatting xmlns:xm="http://schemas.microsoft.com/office/excel/2006/main">
          <x14:cfRule type="containsText" priority="212" stopIfTrue="1" operator="containsText" id="{19E17A88-2EBA-484C-BE58-77C6AD518AE4}">
            <xm:f>NOT(ISERROR(SEARCH("-",M573)))</xm:f>
            <xm:f>"-"</xm:f>
            <x14:dxf/>
          </x14:cfRule>
          <xm:sqref>M573</xm:sqref>
        </x14:conditionalFormatting>
        <x14:conditionalFormatting xmlns:xm="http://schemas.microsoft.com/office/excel/2006/main">
          <x14:cfRule type="containsText" priority="210" stopIfTrue="1" operator="containsText" id="{A48C8FF6-728C-C84F-8DF0-A9722CACA699}">
            <xm:f>NOT(ISERROR(SEARCH("-",M575)))</xm:f>
            <xm:f>"-"</xm:f>
            <x14:dxf/>
          </x14:cfRule>
          <xm:sqref>M575</xm:sqref>
        </x14:conditionalFormatting>
        <x14:conditionalFormatting xmlns:xm="http://schemas.microsoft.com/office/excel/2006/main">
          <x14:cfRule type="containsText" priority="209" stopIfTrue="1" operator="containsText" id="{DA98FE40-EBF9-7645-9438-1DA4401A7446}">
            <xm:f>NOT(ISERROR(SEARCH("-",M577)))</xm:f>
            <xm:f>"-"</xm:f>
            <x14:dxf/>
          </x14:cfRule>
          <xm:sqref>M577</xm:sqref>
        </x14:conditionalFormatting>
        <x14:conditionalFormatting xmlns:xm="http://schemas.microsoft.com/office/excel/2006/main">
          <x14:cfRule type="containsText" priority="207" stopIfTrue="1" operator="containsText" id="{F9D88764-E98E-CE4F-A45F-BD1420BC9A51}">
            <xm:f>NOT(ISERROR(SEARCH("-",M581)))</xm:f>
            <xm:f>"-"</xm:f>
            <x14:dxf/>
          </x14:cfRule>
          <xm:sqref>M581</xm:sqref>
        </x14:conditionalFormatting>
        <x14:conditionalFormatting xmlns:xm="http://schemas.microsoft.com/office/excel/2006/main">
          <x14:cfRule type="containsText" priority="208" stopIfTrue="1" operator="containsText" id="{D8F9DDB6-5A23-7647-9D10-8ECD6D784AD2}">
            <xm:f>NOT(ISERROR(SEARCH("-",M583)))</xm:f>
            <xm:f>"-"</xm:f>
            <x14:dxf/>
          </x14:cfRule>
          <xm:sqref>M583</xm:sqref>
        </x14:conditionalFormatting>
        <x14:conditionalFormatting xmlns:xm="http://schemas.microsoft.com/office/excel/2006/main">
          <x14:cfRule type="containsText" priority="206" stopIfTrue="1" operator="containsText" id="{B5B652C3-189F-5347-9370-249E874A75D7}">
            <xm:f>NOT(ISERROR(SEARCH("-",M585)))</xm:f>
            <xm:f>"-"</xm:f>
            <x14:dxf/>
          </x14:cfRule>
          <xm:sqref>M585</xm:sqref>
        </x14:conditionalFormatting>
        <x14:conditionalFormatting xmlns:xm="http://schemas.microsoft.com/office/excel/2006/main">
          <x14:cfRule type="containsText" priority="205" stopIfTrue="1" operator="containsText" id="{AAC2689F-9ACB-2B4C-9EE9-E610D4BC89C6}">
            <xm:f>NOT(ISERROR(SEARCH("-",M587)))</xm:f>
            <xm:f>"-"</xm:f>
            <x14:dxf/>
          </x14:cfRule>
          <xm:sqref>M587</xm:sqref>
        </x14:conditionalFormatting>
        <x14:conditionalFormatting xmlns:xm="http://schemas.microsoft.com/office/excel/2006/main">
          <x14:cfRule type="containsText" priority="203" stopIfTrue="1" operator="containsText" id="{2E8FB85F-E9A8-9742-AA1B-DCB84E2E9A56}">
            <xm:f>NOT(ISERROR(SEARCH("-",M591)))</xm:f>
            <xm:f>"-"</xm:f>
            <x14:dxf/>
          </x14:cfRule>
          <xm:sqref>M591</xm:sqref>
        </x14:conditionalFormatting>
        <x14:conditionalFormatting xmlns:xm="http://schemas.microsoft.com/office/excel/2006/main">
          <x14:cfRule type="containsText" priority="204" stopIfTrue="1" operator="containsText" id="{DC35090B-120A-5D44-B666-3DD12774E6F2}">
            <xm:f>NOT(ISERROR(SEARCH("-",M593)))</xm:f>
            <xm:f>"-"</xm:f>
            <x14:dxf/>
          </x14:cfRule>
          <xm:sqref>M593</xm:sqref>
        </x14:conditionalFormatting>
        <x14:conditionalFormatting xmlns:xm="http://schemas.microsoft.com/office/excel/2006/main">
          <x14:cfRule type="containsText" priority="202" stopIfTrue="1" operator="containsText" id="{D55C7B52-A6AB-F04F-8989-9144B13D661C}">
            <xm:f>NOT(ISERROR(SEARCH("-",M595)))</xm:f>
            <xm:f>"-"</xm:f>
            <x14:dxf/>
          </x14:cfRule>
          <xm:sqref>M595</xm:sqref>
        </x14:conditionalFormatting>
        <x14:conditionalFormatting xmlns:xm="http://schemas.microsoft.com/office/excel/2006/main">
          <x14:cfRule type="containsText" priority="201" stopIfTrue="1" operator="containsText" id="{D17A0A1E-9AFD-BA46-B10C-AC66CF233450}">
            <xm:f>NOT(ISERROR(SEARCH("-",M597)))</xm:f>
            <xm:f>"-"</xm:f>
            <x14:dxf/>
          </x14:cfRule>
          <xm:sqref>M597</xm:sqref>
        </x14:conditionalFormatting>
        <x14:conditionalFormatting xmlns:xm="http://schemas.microsoft.com/office/excel/2006/main">
          <x14:cfRule type="containsText" priority="199" stopIfTrue="1" operator="containsText" id="{44616E4C-E490-3741-99F0-CF1112BA9452}">
            <xm:f>NOT(ISERROR(SEARCH("-",M601)))</xm:f>
            <xm:f>"-"</xm:f>
            <x14:dxf/>
          </x14:cfRule>
          <xm:sqref>M601</xm:sqref>
        </x14:conditionalFormatting>
        <x14:conditionalFormatting xmlns:xm="http://schemas.microsoft.com/office/excel/2006/main">
          <x14:cfRule type="containsText" priority="200" stopIfTrue="1" operator="containsText" id="{BE56F164-9BB7-BC4F-AF18-0412A03ED436}">
            <xm:f>NOT(ISERROR(SEARCH("-",M603)))</xm:f>
            <xm:f>"-"</xm:f>
            <x14:dxf/>
          </x14:cfRule>
          <xm:sqref>M603</xm:sqref>
        </x14:conditionalFormatting>
        <x14:conditionalFormatting xmlns:xm="http://schemas.microsoft.com/office/excel/2006/main">
          <x14:cfRule type="containsText" priority="198" stopIfTrue="1" operator="containsText" id="{D2280D05-461C-8F45-BAFD-1B0ACCBA57C2}">
            <xm:f>NOT(ISERROR(SEARCH("-",M605)))</xm:f>
            <xm:f>"-"</xm:f>
            <x14:dxf/>
          </x14:cfRule>
          <xm:sqref>M605</xm:sqref>
        </x14:conditionalFormatting>
        <x14:conditionalFormatting xmlns:xm="http://schemas.microsoft.com/office/excel/2006/main">
          <x14:cfRule type="containsText" priority="197" stopIfTrue="1" operator="containsText" id="{BAC836F2-B039-244D-861A-6FCE717C2DDB}">
            <xm:f>NOT(ISERROR(SEARCH("-",M607)))</xm:f>
            <xm:f>"-"</xm:f>
            <x14:dxf/>
          </x14:cfRule>
          <xm:sqref>M607</xm:sqref>
        </x14:conditionalFormatting>
        <x14:conditionalFormatting xmlns:xm="http://schemas.microsoft.com/office/excel/2006/main">
          <x14:cfRule type="containsText" priority="195" stopIfTrue="1" operator="containsText" id="{00E75C0A-37EC-D64F-82F7-8B521DF4DBCE}">
            <xm:f>NOT(ISERROR(SEARCH("-",M611)))</xm:f>
            <xm:f>"-"</xm:f>
            <x14:dxf/>
          </x14:cfRule>
          <xm:sqref>M611</xm:sqref>
        </x14:conditionalFormatting>
        <x14:conditionalFormatting xmlns:xm="http://schemas.microsoft.com/office/excel/2006/main">
          <x14:cfRule type="containsText" priority="196" stopIfTrue="1" operator="containsText" id="{984A4675-C487-EE4D-9D83-17959D0ACEA1}">
            <xm:f>NOT(ISERROR(SEARCH("-",M613)))</xm:f>
            <xm:f>"-"</xm:f>
            <x14:dxf/>
          </x14:cfRule>
          <xm:sqref>M613</xm:sqref>
        </x14:conditionalFormatting>
        <x14:conditionalFormatting xmlns:xm="http://schemas.microsoft.com/office/excel/2006/main">
          <x14:cfRule type="containsText" priority="194" stopIfTrue="1" operator="containsText" id="{14C173F9-87A8-7F40-8F06-8C4DC8D017BA}">
            <xm:f>NOT(ISERROR(SEARCH("-",M615)))</xm:f>
            <xm:f>"-"</xm:f>
            <x14:dxf/>
          </x14:cfRule>
          <xm:sqref>M615</xm:sqref>
        </x14:conditionalFormatting>
        <x14:conditionalFormatting xmlns:xm="http://schemas.microsoft.com/office/excel/2006/main">
          <x14:cfRule type="containsText" priority="193" stopIfTrue="1" operator="containsText" id="{D1775468-3C47-4248-A43A-8E9878A108F2}">
            <xm:f>NOT(ISERROR(SEARCH("-",M617)))</xm:f>
            <xm:f>"-"</xm:f>
            <x14:dxf/>
          </x14:cfRule>
          <xm:sqref>M617</xm:sqref>
        </x14:conditionalFormatting>
        <x14:conditionalFormatting xmlns:xm="http://schemas.microsoft.com/office/excel/2006/main">
          <x14:cfRule type="containsText" priority="187" stopIfTrue="1" operator="containsText" id="{4A423A72-9D70-7F4C-A572-885E0BF7084C}">
            <xm:f>NOT(ISERROR(SEARCH("-",M621)))</xm:f>
            <xm:f>"-"</xm:f>
            <x14:dxf/>
          </x14:cfRule>
          <xm:sqref>M621</xm:sqref>
        </x14:conditionalFormatting>
        <x14:conditionalFormatting xmlns:xm="http://schemas.microsoft.com/office/excel/2006/main">
          <x14:cfRule type="containsText" priority="188" stopIfTrue="1" operator="containsText" id="{66A2B6D0-B998-9E44-8105-2742B70F573B}">
            <xm:f>NOT(ISERROR(SEARCH("-",M623)))</xm:f>
            <xm:f>"-"</xm:f>
            <x14:dxf/>
          </x14:cfRule>
          <xm:sqref>M623</xm:sqref>
        </x14:conditionalFormatting>
        <x14:conditionalFormatting xmlns:xm="http://schemas.microsoft.com/office/excel/2006/main">
          <x14:cfRule type="containsText" priority="186" stopIfTrue="1" operator="containsText" id="{B9A4FAEF-FD5B-C040-A5C6-F35C9380A5C6}">
            <xm:f>NOT(ISERROR(SEARCH("-",M625)))</xm:f>
            <xm:f>"-"</xm:f>
            <x14:dxf/>
          </x14:cfRule>
          <xm:sqref>M625</xm:sqref>
        </x14:conditionalFormatting>
        <x14:conditionalFormatting xmlns:xm="http://schemas.microsoft.com/office/excel/2006/main">
          <x14:cfRule type="containsText" priority="185" stopIfTrue="1" operator="containsText" id="{7F13253B-8A28-344F-9C99-9248584CAA48}">
            <xm:f>NOT(ISERROR(SEARCH("-",M627)))</xm:f>
            <xm:f>"-"</xm:f>
            <x14:dxf/>
          </x14:cfRule>
          <xm:sqref>M627</xm:sqref>
        </x14:conditionalFormatting>
        <x14:conditionalFormatting xmlns:xm="http://schemas.microsoft.com/office/excel/2006/main">
          <x14:cfRule type="containsText" priority="183" stopIfTrue="1" operator="containsText" id="{2A3D3F50-AE22-0A43-8EB9-689CF02C59E4}">
            <xm:f>NOT(ISERROR(SEARCH("-",M631)))</xm:f>
            <xm:f>"-"</xm:f>
            <x14:dxf/>
          </x14:cfRule>
          <xm:sqref>M631</xm:sqref>
        </x14:conditionalFormatting>
        <x14:conditionalFormatting xmlns:xm="http://schemas.microsoft.com/office/excel/2006/main">
          <x14:cfRule type="containsText" priority="184" stopIfTrue="1" operator="containsText" id="{B27F964F-67D4-6B48-91DA-D9668B5AA486}">
            <xm:f>NOT(ISERROR(SEARCH("-",M633)))</xm:f>
            <xm:f>"-"</xm:f>
            <x14:dxf/>
          </x14:cfRule>
          <xm:sqref>M633</xm:sqref>
        </x14:conditionalFormatting>
        <x14:conditionalFormatting xmlns:xm="http://schemas.microsoft.com/office/excel/2006/main">
          <x14:cfRule type="containsText" priority="182" stopIfTrue="1" operator="containsText" id="{0516743E-FD2F-BC4F-BEC5-EF2E0C0FA0E1}">
            <xm:f>NOT(ISERROR(SEARCH("-",M635)))</xm:f>
            <xm:f>"-"</xm:f>
            <x14:dxf/>
          </x14:cfRule>
          <xm:sqref>M635</xm:sqref>
        </x14:conditionalFormatting>
        <x14:conditionalFormatting xmlns:xm="http://schemas.microsoft.com/office/excel/2006/main">
          <x14:cfRule type="containsText" priority="181" stopIfTrue="1" operator="containsText" id="{A0D68DDE-BB96-7644-A539-FB6B157CF018}">
            <xm:f>NOT(ISERROR(SEARCH("-",M637)))</xm:f>
            <xm:f>"-"</xm:f>
            <x14:dxf/>
          </x14:cfRule>
          <xm:sqref>M637</xm:sqref>
        </x14:conditionalFormatting>
        <x14:conditionalFormatting xmlns:xm="http://schemas.microsoft.com/office/excel/2006/main">
          <x14:cfRule type="containsText" priority="179" stopIfTrue="1" operator="containsText" id="{205B3D6A-A931-0B4E-A249-F5D335E122DE}">
            <xm:f>NOT(ISERROR(SEARCH("-",M641)))</xm:f>
            <xm:f>"-"</xm:f>
            <x14:dxf/>
          </x14:cfRule>
          <xm:sqref>M641</xm:sqref>
        </x14:conditionalFormatting>
        <x14:conditionalFormatting xmlns:xm="http://schemas.microsoft.com/office/excel/2006/main">
          <x14:cfRule type="containsText" priority="180" stopIfTrue="1" operator="containsText" id="{4F989EDD-7BD9-7F47-B9A7-B5FCE5F5F813}">
            <xm:f>NOT(ISERROR(SEARCH("-",M643)))</xm:f>
            <xm:f>"-"</xm:f>
            <x14:dxf/>
          </x14:cfRule>
          <xm:sqref>M643</xm:sqref>
        </x14:conditionalFormatting>
        <x14:conditionalFormatting xmlns:xm="http://schemas.microsoft.com/office/excel/2006/main">
          <x14:cfRule type="containsText" priority="178" stopIfTrue="1" operator="containsText" id="{EE07DCCD-25F5-DA46-8AD9-961DB7B99940}">
            <xm:f>NOT(ISERROR(SEARCH("-",M645)))</xm:f>
            <xm:f>"-"</xm:f>
            <x14:dxf/>
          </x14:cfRule>
          <xm:sqref>M645</xm:sqref>
        </x14:conditionalFormatting>
        <x14:conditionalFormatting xmlns:xm="http://schemas.microsoft.com/office/excel/2006/main">
          <x14:cfRule type="containsText" priority="177" stopIfTrue="1" operator="containsText" id="{481762F6-353A-4D4B-A9DA-A6B7B3ABB83A}">
            <xm:f>NOT(ISERROR(SEARCH("-",M647)))</xm:f>
            <xm:f>"-"</xm:f>
            <x14:dxf/>
          </x14:cfRule>
          <xm:sqref>M647</xm:sqref>
        </x14:conditionalFormatting>
        <x14:conditionalFormatting xmlns:xm="http://schemas.microsoft.com/office/excel/2006/main">
          <x14:cfRule type="containsText" priority="175" stopIfTrue="1" operator="containsText" id="{4DA29099-DC3C-A742-823E-07E3761E1623}">
            <xm:f>NOT(ISERROR(SEARCH("-",M651)))</xm:f>
            <xm:f>"-"</xm:f>
            <x14:dxf/>
          </x14:cfRule>
          <xm:sqref>M651</xm:sqref>
        </x14:conditionalFormatting>
        <x14:conditionalFormatting xmlns:xm="http://schemas.microsoft.com/office/excel/2006/main">
          <x14:cfRule type="containsText" priority="176" stopIfTrue="1" operator="containsText" id="{BAE00935-06A3-9645-8DF2-1DCC649C27DA}">
            <xm:f>NOT(ISERROR(SEARCH("-",M653)))</xm:f>
            <xm:f>"-"</xm:f>
            <x14:dxf/>
          </x14:cfRule>
          <xm:sqref>M653</xm:sqref>
        </x14:conditionalFormatting>
        <x14:conditionalFormatting xmlns:xm="http://schemas.microsoft.com/office/excel/2006/main">
          <x14:cfRule type="containsText" priority="174" stopIfTrue="1" operator="containsText" id="{DBDB1C94-B00D-DA45-865E-C1AFE1D5C2D0}">
            <xm:f>NOT(ISERROR(SEARCH("-",M655)))</xm:f>
            <xm:f>"-"</xm:f>
            <x14:dxf/>
          </x14:cfRule>
          <xm:sqref>M655</xm:sqref>
        </x14:conditionalFormatting>
        <x14:conditionalFormatting xmlns:xm="http://schemas.microsoft.com/office/excel/2006/main">
          <x14:cfRule type="containsText" priority="173" stopIfTrue="1" operator="containsText" id="{FAA3392D-6BFD-9249-82AD-FC393EC4A8DA}">
            <xm:f>NOT(ISERROR(SEARCH("-",M657)))</xm:f>
            <xm:f>"-"</xm:f>
            <x14:dxf/>
          </x14:cfRule>
          <xm:sqref>M657</xm:sqref>
        </x14:conditionalFormatting>
        <x14:conditionalFormatting xmlns:xm="http://schemas.microsoft.com/office/excel/2006/main">
          <x14:cfRule type="containsText" priority="171" stopIfTrue="1" operator="containsText" id="{7777F60F-800C-C04B-8066-A30B8D4B0AE4}">
            <xm:f>NOT(ISERROR(SEARCH("-",M661)))</xm:f>
            <xm:f>"-"</xm:f>
            <x14:dxf/>
          </x14:cfRule>
          <xm:sqref>M661</xm:sqref>
        </x14:conditionalFormatting>
        <x14:conditionalFormatting xmlns:xm="http://schemas.microsoft.com/office/excel/2006/main">
          <x14:cfRule type="containsText" priority="172" stopIfTrue="1" operator="containsText" id="{78185123-4ED4-B14D-AA15-40DA67FAC0CC}">
            <xm:f>NOT(ISERROR(SEARCH("-",M663)))</xm:f>
            <xm:f>"-"</xm:f>
            <x14:dxf/>
          </x14:cfRule>
          <xm:sqref>M663</xm:sqref>
        </x14:conditionalFormatting>
        <x14:conditionalFormatting xmlns:xm="http://schemas.microsoft.com/office/excel/2006/main">
          <x14:cfRule type="containsText" priority="170" stopIfTrue="1" operator="containsText" id="{2EC43A2E-C274-194C-A02F-807F3320FE34}">
            <xm:f>NOT(ISERROR(SEARCH("-",M665)))</xm:f>
            <xm:f>"-"</xm:f>
            <x14:dxf/>
          </x14:cfRule>
          <xm:sqref>M665</xm:sqref>
        </x14:conditionalFormatting>
        <x14:conditionalFormatting xmlns:xm="http://schemas.microsoft.com/office/excel/2006/main">
          <x14:cfRule type="containsText" priority="169" stopIfTrue="1" operator="containsText" id="{ED029190-B2DD-7A48-86A9-2CC979EED0DC}">
            <xm:f>NOT(ISERROR(SEARCH("-",M667)))</xm:f>
            <xm:f>"-"</xm:f>
            <x14:dxf/>
          </x14:cfRule>
          <xm:sqref>M667</xm:sqref>
        </x14:conditionalFormatting>
        <x14:conditionalFormatting xmlns:xm="http://schemas.microsoft.com/office/excel/2006/main">
          <x14:cfRule type="containsText" priority="167" stopIfTrue="1" operator="containsText" id="{0D5D5FFE-6BC9-6B47-98A6-16816902F981}">
            <xm:f>NOT(ISERROR(SEARCH("-",M671)))</xm:f>
            <xm:f>"-"</xm:f>
            <x14:dxf/>
          </x14:cfRule>
          <xm:sqref>M671</xm:sqref>
        </x14:conditionalFormatting>
        <x14:conditionalFormatting xmlns:xm="http://schemas.microsoft.com/office/excel/2006/main">
          <x14:cfRule type="containsText" priority="168" stopIfTrue="1" operator="containsText" id="{FF7BE754-681E-F74C-A528-779819DD0682}">
            <xm:f>NOT(ISERROR(SEARCH("-",M673)))</xm:f>
            <xm:f>"-"</xm:f>
            <x14:dxf/>
          </x14:cfRule>
          <xm:sqref>M673</xm:sqref>
        </x14:conditionalFormatting>
        <x14:conditionalFormatting xmlns:xm="http://schemas.microsoft.com/office/excel/2006/main">
          <x14:cfRule type="containsText" priority="166" stopIfTrue="1" operator="containsText" id="{979DD4B6-C809-B24F-A4E0-CD522E603FF5}">
            <xm:f>NOT(ISERROR(SEARCH("-",M675)))</xm:f>
            <xm:f>"-"</xm:f>
            <x14:dxf/>
          </x14:cfRule>
          <xm:sqref>M675</xm:sqref>
        </x14:conditionalFormatting>
        <x14:conditionalFormatting xmlns:xm="http://schemas.microsoft.com/office/excel/2006/main">
          <x14:cfRule type="containsText" priority="165" stopIfTrue="1" operator="containsText" id="{E86D5C15-84F1-3C49-AD36-46D211567F82}">
            <xm:f>NOT(ISERROR(SEARCH("-",M677)))</xm:f>
            <xm:f>"-"</xm:f>
            <x14:dxf/>
          </x14:cfRule>
          <xm:sqref>M677</xm:sqref>
        </x14:conditionalFormatting>
        <x14:conditionalFormatting xmlns:xm="http://schemas.microsoft.com/office/excel/2006/main">
          <x14:cfRule type="containsText" priority="163" stopIfTrue="1" operator="containsText" id="{028331AC-CCD2-284E-B698-749E4B5D3B79}">
            <xm:f>NOT(ISERROR(SEARCH("-",M681)))</xm:f>
            <xm:f>"-"</xm:f>
            <x14:dxf/>
          </x14:cfRule>
          <xm:sqref>M681</xm:sqref>
        </x14:conditionalFormatting>
        <x14:conditionalFormatting xmlns:xm="http://schemas.microsoft.com/office/excel/2006/main">
          <x14:cfRule type="containsText" priority="164" stopIfTrue="1" operator="containsText" id="{B0D50995-C910-A148-A405-5145AF506930}">
            <xm:f>NOT(ISERROR(SEARCH("-",M683)))</xm:f>
            <xm:f>"-"</xm:f>
            <x14:dxf/>
          </x14:cfRule>
          <xm:sqref>M683</xm:sqref>
        </x14:conditionalFormatting>
        <x14:conditionalFormatting xmlns:xm="http://schemas.microsoft.com/office/excel/2006/main">
          <x14:cfRule type="containsText" priority="162" stopIfTrue="1" operator="containsText" id="{4E6D9247-9121-FC42-890D-0DFED01B661A}">
            <xm:f>NOT(ISERROR(SEARCH("-",M685)))</xm:f>
            <xm:f>"-"</xm:f>
            <x14:dxf/>
          </x14:cfRule>
          <xm:sqref>M685</xm:sqref>
        </x14:conditionalFormatting>
        <x14:conditionalFormatting xmlns:xm="http://schemas.microsoft.com/office/excel/2006/main">
          <x14:cfRule type="containsText" priority="161" stopIfTrue="1" operator="containsText" id="{6FE4CE52-211A-664D-B940-B827157BDB61}">
            <xm:f>NOT(ISERROR(SEARCH("-",M687)))</xm:f>
            <xm:f>"-"</xm:f>
            <x14:dxf/>
          </x14:cfRule>
          <xm:sqref>M687</xm:sqref>
        </x14:conditionalFormatting>
        <x14:conditionalFormatting xmlns:xm="http://schemas.microsoft.com/office/excel/2006/main">
          <x14:cfRule type="containsText" priority="159" stopIfTrue="1" operator="containsText" id="{F57F1A5C-99FA-3644-950D-1DEEFF49E9D8}">
            <xm:f>NOT(ISERROR(SEARCH("-",M691)))</xm:f>
            <xm:f>"-"</xm:f>
            <x14:dxf/>
          </x14:cfRule>
          <xm:sqref>M691</xm:sqref>
        </x14:conditionalFormatting>
        <x14:conditionalFormatting xmlns:xm="http://schemas.microsoft.com/office/excel/2006/main">
          <x14:cfRule type="containsText" priority="160" stopIfTrue="1" operator="containsText" id="{20A54EE4-7312-C44F-9EE5-22333AF68317}">
            <xm:f>NOT(ISERROR(SEARCH("-",M693)))</xm:f>
            <xm:f>"-"</xm:f>
            <x14:dxf/>
          </x14:cfRule>
          <xm:sqref>M693</xm:sqref>
        </x14:conditionalFormatting>
        <x14:conditionalFormatting xmlns:xm="http://schemas.microsoft.com/office/excel/2006/main">
          <x14:cfRule type="containsText" priority="158" stopIfTrue="1" operator="containsText" id="{93F88DFA-7B5A-234F-9513-2730DB607933}">
            <xm:f>NOT(ISERROR(SEARCH("-",M695)))</xm:f>
            <xm:f>"-"</xm:f>
            <x14:dxf/>
          </x14:cfRule>
          <xm:sqref>M695</xm:sqref>
        </x14:conditionalFormatting>
        <x14:conditionalFormatting xmlns:xm="http://schemas.microsoft.com/office/excel/2006/main">
          <x14:cfRule type="containsText" priority="157" stopIfTrue="1" operator="containsText" id="{C429AA7A-D2C0-624B-A435-EAA1A621CA5F}">
            <xm:f>NOT(ISERROR(SEARCH("-",M697)))</xm:f>
            <xm:f>"-"</xm:f>
            <x14:dxf/>
          </x14:cfRule>
          <xm:sqref>M697</xm:sqref>
        </x14:conditionalFormatting>
        <x14:conditionalFormatting xmlns:xm="http://schemas.microsoft.com/office/excel/2006/main">
          <x14:cfRule type="containsText" priority="155" stopIfTrue="1" operator="containsText" id="{6051F122-5224-884B-AA9F-66091526130A}">
            <xm:f>NOT(ISERROR(SEARCH("-",M701)))</xm:f>
            <xm:f>"-"</xm:f>
            <x14:dxf/>
          </x14:cfRule>
          <xm:sqref>M701</xm:sqref>
        </x14:conditionalFormatting>
        <x14:conditionalFormatting xmlns:xm="http://schemas.microsoft.com/office/excel/2006/main">
          <x14:cfRule type="containsText" priority="156" stopIfTrue="1" operator="containsText" id="{9C501CDE-BABC-8A4D-96C5-1AC4E58F2756}">
            <xm:f>NOT(ISERROR(SEARCH("-",M703)))</xm:f>
            <xm:f>"-"</xm:f>
            <x14:dxf/>
          </x14:cfRule>
          <xm:sqref>M703</xm:sqref>
        </x14:conditionalFormatting>
        <x14:conditionalFormatting xmlns:xm="http://schemas.microsoft.com/office/excel/2006/main">
          <x14:cfRule type="containsText" priority="154" stopIfTrue="1" operator="containsText" id="{CC25D9AC-D178-3640-9F5C-CF85EAA96792}">
            <xm:f>NOT(ISERROR(SEARCH("-",M705)))</xm:f>
            <xm:f>"-"</xm:f>
            <x14:dxf/>
          </x14:cfRule>
          <xm:sqref>M705</xm:sqref>
        </x14:conditionalFormatting>
        <x14:conditionalFormatting xmlns:xm="http://schemas.microsoft.com/office/excel/2006/main">
          <x14:cfRule type="containsText" priority="153" stopIfTrue="1" operator="containsText" id="{96C94572-C01A-3C4D-8EFD-9B112E86A2EB}">
            <xm:f>NOT(ISERROR(SEARCH("-",M707)))</xm:f>
            <xm:f>"-"</xm:f>
            <x14:dxf/>
          </x14:cfRule>
          <xm:sqref>M707</xm:sqref>
        </x14:conditionalFormatting>
        <x14:conditionalFormatting xmlns:xm="http://schemas.microsoft.com/office/excel/2006/main">
          <x14:cfRule type="containsText" priority="151" stopIfTrue="1" operator="containsText" id="{ECBE4A72-955B-8B43-B96A-62BC7CDE8886}">
            <xm:f>NOT(ISERROR(SEARCH("-",M711)))</xm:f>
            <xm:f>"-"</xm:f>
            <x14:dxf/>
          </x14:cfRule>
          <xm:sqref>M711</xm:sqref>
        </x14:conditionalFormatting>
        <x14:conditionalFormatting xmlns:xm="http://schemas.microsoft.com/office/excel/2006/main">
          <x14:cfRule type="containsText" priority="152" stopIfTrue="1" operator="containsText" id="{458697B9-DE57-134C-8A51-21FCF7FE3090}">
            <xm:f>NOT(ISERROR(SEARCH("-",M713)))</xm:f>
            <xm:f>"-"</xm:f>
            <x14:dxf/>
          </x14:cfRule>
          <xm:sqref>M713</xm:sqref>
        </x14:conditionalFormatting>
        <x14:conditionalFormatting xmlns:xm="http://schemas.microsoft.com/office/excel/2006/main">
          <x14:cfRule type="containsText" priority="150" stopIfTrue="1" operator="containsText" id="{0B229D16-C650-9241-8950-56FE126C1E0B}">
            <xm:f>NOT(ISERROR(SEARCH("-",M715)))</xm:f>
            <xm:f>"-"</xm:f>
            <x14:dxf/>
          </x14:cfRule>
          <xm:sqref>M715</xm:sqref>
        </x14:conditionalFormatting>
        <x14:conditionalFormatting xmlns:xm="http://schemas.microsoft.com/office/excel/2006/main">
          <x14:cfRule type="containsText" priority="149" stopIfTrue="1" operator="containsText" id="{392EC3A0-99D8-014C-82AA-08B3F84963F1}">
            <xm:f>NOT(ISERROR(SEARCH("-",M717)))</xm:f>
            <xm:f>"-"</xm:f>
            <x14:dxf/>
          </x14:cfRule>
          <xm:sqref>M717</xm:sqref>
        </x14:conditionalFormatting>
        <x14:conditionalFormatting xmlns:xm="http://schemas.microsoft.com/office/excel/2006/main">
          <x14:cfRule type="containsText" priority="147" stopIfTrue="1" operator="containsText" id="{D7C68253-C5E7-414E-A323-25D755684C3B}">
            <xm:f>NOT(ISERROR(SEARCH("-",M721)))</xm:f>
            <xm:f>"-"</xm:f>
            <x14:dxf/>
          </x14:cfRule>
          <xm:sqref>M721</xm:sqref>
        </x14:conditionalFormatting>
        <x14:conditionalFormatting xmlns:xm="http://schemas.microsoft.com/office/excel/2006/main">
          <x14:cfRule type="containsText" priority="148" stopIfTrue="1" operator="containsText" id="{630AB4C4-D641-814E-A5FB-66F47089B2E3}">
            <xm:f>NOT(ISERROR(SEARCH("-",M723)))</xm:f>
            <xm:f>"-"</xm:f>
            <x14:dxf/>
          </x14:cfRule>
          <xm:sqref>M723</xm:sqref>
        </x14:conditionalFormatting>
        <x14:conditionalFormatting xmlns:xm="http://schemas.microsoft.com/office/excel/2006/main">
          <x14:cfRule type="containsText" priority="146" stopIfTrue="1" operator="containsText" id="{8087DFD3-2318-9145-B0A2-BC2B488BF97B}">
            <xm:f>NOT(ISERROR(SEARCH("-",M725)))</xm:f>
            <xm:f>"-"</xm:f>
            <x14:dxf/>
          </x14:cfRule>
          <xm:sqref>M725</xm:sqref>
        </x14:conditionalFormatting>
        <x14:conditionalFormatting xmlns:xm="http://schemas.microsoft.com/office/excel/2006/main">
          <x14:cfRule type="containsText" priority="145" stopIfTrue="1" operator="containsText" id="{10C9BB4C-D822-BE45-A0C8-FF15BA322394}">
            <xm:f>NOT(ISERROR(SEARCH("-",M727)))</xm:f>
            <xm:f>"-"</xm:f>
            <x14:dxf/>
          </x14:cfRule>
          <xm:sqref>M727</xm:sqref>
        </x14:conditionalFormatting>
        <x14:conditionalFormatting xmlns:xm="http://schemas.microsoft.com/office/excel/2006/main">
          <x14:cfRule type="containsText" priority="143" stopIfTrue="1" operator="containsText" id="{0BA0A092-9835-A148-B4B1-BAF95785D010}">
            <xm:f>NOT(ISERROR(SEARCH("-",M731)))</xm:f>
            <xm:f>"-"</xm:f>
            <x14:dxf/>
          </x14:cfRule>
          <xm:sqref>M731</xm:sqref>
        </x14:conditionalFormatting>
        <x14:conditionalFormatting xmlns:xm="http://schemas.microsoft.com/office/excel/2006/main">
          <x14:cfRule type="containsText" priority="144" stopIfTrue="1" operator="containsText" id="{4E3A5A2C-6682-3F41-B591-A40F00FA2B2C}">
            <xm:f>NOT(ISERROR(SEARCH("-",M733)))</xm:f>
            <xm:f>"-"</xm:f>
            <x14:dxf/>
          </x14:cfRule>
          <xm:sqref>M733</xm:sqref>
        </x14:conditionalFormatting>
        <x14:conditionalFormatting xmlns:xm="http://schemas.microsoft.com/office/excel/2006/main">
          <x14:cfRule type="containsText" priority="142" stopIfTrue="1" operator="containsText" id="{11F5B134-DE76-FC4C-81BE-3FA5E138BF65}">
            <xm:f>NOT(ISERROR(SEARCH("-",M735)))</xm:f>
            <xm:f>"-"</xm:f>
            <x14:dxf/>
          </x14:cfRule>
          <xm:sqref>M735</xm:sqref>
        </x14:conditionalFormatting>
        <x14:conditionalFormatting xmlns:xm="http://schemas.microsoft.com/office/excel/2006/main">
          <x14:cfRule type="containsText" priority="141" stopIfTrue="1" operator="containsText" id="{C5B5AD3D-2FD5-D845-9846-CD1823489605}">
            <xm:f>NOT(ISERROR(SEARCH("-",M737)))</xm:f>
            <xm:f>"-"</xm:f>
            <x14:dxf/>
          </x14:cfRule>
          <xm:sqref>M737</xm:sqref>
        </x14:conditionalFormatting>
        <x14:conditionalFormatting xmlns:xm="http://schemas.microsoft.com/office/excel/2006/main">
          <x14:cfRule type="containsText" priority="139" stopIfTrue="1" operator="containsText" id="{3CE5BD24-E406-784B-9D6A-0ACBAA427E6C}">
            <xm:f>NOT(ISERROR(SEARCH("-",M741)))</xm:f>
            <xm:f>"-"</xm:f>
            <x14:dxf/>
          </x14:cfRule>
          <xm:sqref>M741</xm:sqref>
        </x14:conditionalFormatting>
        <x14:conditionalFormatting xmlns:xm="http://schemas.microsoft.com/office/excel/2006/main">
          <x14:cfRule type="containsText" priority="140" stopIfTrue="1" operator="containsText" id="{C3208B2C-0B04-ED48-99AE-1B4B7C113358}">
            <xm:f>NOT(ISERROR(SEARCH("-",M743)))</xm:f>
            <xm:f>"-"</xm:f>
            <x14:dxf/>
          </x14:cfRule>
          <xm:sqref>M743</xm:sqref>
        </x14:conditionalFormatting>
        <x14:conditionalFormatting xmlns:xm="http://schemas.microsoft.com/office/excel/2006/main">
          <x14:cfRule type="containsText" priority="138" stopIfTrue="1" operator="containsText" id="{F0442D32-A043-EE4A-A27A-AE05B4FF67D7}">
            <xm:f>NOT(ISERROR(SEARCH("-",M745)))</xm:f>
            <xm:f>"-"</xm:f>
            <x14:dxf/>
          </x14:cfRule>
          <xm:sqref>M745</xm:sqref>
        </x14:conditionalFormatting>
        <x14:conditionalFormatting xmlns:xm="http://schemas.microsoft.com/office/excel/2006/main">
          <x14:cfRule type="containsText" priority="137" stopIfTrue="1" operator="containsText" id="{4C14FCC4-5FC1-B54C-8851-A3DD28A6F352}">
            <xm:f>NOT(ISERROR(SEARCH("-",M747)))</xm:f>
            <xm:f>"-"</xm:f>
            <x14:dxf/>
          </x14:cfRule>
          <xm:sqref>M747</xm:sqref>
        </x14:conditionalFormatting>
        <x14:conditionalFormatting xmlns:xm="http://schemas.microsoft.com/office/excel/2006/main">
          <x14:cfRule type="containsText" priority="135" stopIfTrue="1" operator="containsText" id="{60C78E43-DEBE-994B-8E46-04D01319C44C}">
            <xm:f>NOT(ISERROR(SEARCH("-",M751)))</xm:f>
            <xm:f>"-"</xm:f>
            <x14:dxf/>
          </x14:cfRule>
          <xm:sqref>M751</xm:sqref>
        </x14:conditionalFormatting>
        <x14:conditionalFormatting xmlns:xm="http://schemas.microsoft.com/office/excel/2006/main">
          <x14:cfRule type="containsText" priority="136" stopIfTrue="1" operator="containsText" id="{1FBB0C44-D371-1E4A-A8DA-42A67F3FFE2A}">
            <xm:f>NOT(ISERROR(SEARCH("-",M753)))</xm:f>
            <xm:f>"-"</xm:f>
            <x14:dxf/>
          </x14:cfRule>
          <xm:sqref>M753</xm:sqref>
        </x14:conditionalFormatting>
        <x14:conditionalFormatting xmlns:xm="http://schemas.microsoft.com/office/excel/2006/main">
          <x14:cfRule type="containsText" priority="134" stopIfTrue="1" operator="containsText" id="{F46EB47F-2DD1-B84F-9E71-6D375AB810F3}">
            <xm:f>NOT(ISERROR(SEARCH("-",M755)))</xm:f>
            <xm:f>"-"</xm:f>
            <x14:dxf/>
          </x14:cfRule>
          <xm:sqref>M755</xm:sqref>
        </x14:conditionalFormatting>
        <x14:conditionalFormatting xmlns:xm="http://schemas.microsoft.com/office/excel/2006/main">
          <x14:cfRule type="containsText" priority="133" stopIfTrue="1" operator="containsText" id="{FEF94B27-B327-E24F-9E7F-DEED584CCA64}">
            <xm:f>NOT(ISERROR(SEARCH("-",M757)))</xm:f>
            <xm:f>"-"</xm:f>
            <x14:dxf/>
          </x14:cfRule>
          <xm:sqref>M757</xm:sqref>
        </x14:conditionalFormatting>
        <x14:conditionalFormatting xmlns:xm="http://schemas.microsoft.com/office/excel/2006/main">
          <x14:cfRule type="containsText" priority="131" stopIfTrue="1" operator="containsText" id="{09084992-4BE6-1748-B934-CE90F0D78CC1}">
            <xm:f>NOT(ISERROR(SEARCH("-",M761)))</xm:f>
            <xm:f>"-"</xm:f>
            <x14:dxf/>
          </x14:cfRule>
          <xm:sqref>M761</xm:sqref>
        </x14:conditionalFormatting>
        <x14:conditionalFormatting xmlns:xm="http://schemas.microsoft.com/office/excel/2006/main">
          <x14:cfRule type="containsText" priority="132" stopIfTrue="1" operator="containsText" id="{CDCB8FCA-0A47-2B4E-8224-C1C25AFDFD5A}">
            <xm:f>NOT(ISERROR(SEARCH("-",M763)))</xm:f>
            <xm:f>"-"</xm:f>
            <x14:dxf/>
          </x14:cfRule>
          <xm:sqref>M763</xm:sqref>
        </x14:conditionalFormatting>
        <x14:conditionalFormatting xmlns:xm="http://schemas.microsoft.com/office/excel/2006/main">
          <x14:cfRule type="containsText" priority="130" stopIfTrue="1" operator="containsText" id="{6D296084-7C32-CF4A-B2C7-3658060ED768}">
            <xm:f>NOT(ISERROR(SEARCH("-",M765)))</xm:f>
            <xm:f>"-"</xm:f>
            <x14:dxf/>
          </x14:cfRule>
          <xm:sqref>M765</xm:sqref>
        </x14:conditionalFormatting>
        <x14:conditionalFormatting xmlns:xm="http://schemas.microsoft.com/office/excel/2006/main">
          <x14:cfRule type="containsText" priority="129" stopIfTrue="1" operator="containsText" id="{EAA24D0E-AFC7-3C48-8122-96F8BCB9B179}">
            <xm:f>NOT(ISERROR(SEARCH("-",M767)))</xm:f>
            <xm:f>"-"</xm:f>
            <x14:dxf/>
          </x14:cfRule>
          <xm:sqref>M767</xm:sqref>
        </x14:conditionalFormatting>
        <x14:conditionalFormatting xmlns:xm="http://schemas.microsoft.com/office/excel/2006/main">
          <x14:cfRule type="containsText" priority="127" stopIfTrue="1" operator="containsText" id="{8D9567E0-8212-134C-AF22-5431F124FC2B}">
            <xm:f>NOT(ISERROR(SEARCH("-",M771)))</xm:f>
            <xm:f>"-"</xm:f>
            <x14:dxf/>
          </x14:cfRule>
          <xm:sqref>M771</xm:sqref>
        </x14:conditionalFormatting>
        <x14:conditionalFormatting xmlns:xm="http://schemas.microsoft.com/office/excel/2006/main">
          <x14:cfRule type="containsText" priority="128" stopIfTrue="1" operator="containsText" id="{B41DF9B8-2A98-5648-BD0C-93FF23EB953B}">
            <xm:f>NOT(ISERROR(SEARCH("-",M773)))</xm:f>
            <xm:f>"-"</xm:f>
            <x14:dxf/>
          </x14:cfRule>
          <xm:sqref>M773</xm:sqref>
        </x14:conditionalFormatting>
        <x14:conditionalFormatting xmlns:xm="http://schemas.microsoft.com/office/excel/2006/main">
          <x14:cfRule type="containsText" priority="126" stopIfTrue="1" operator="containsText" id="{87715D40-C219-6B42-86FD-D39913979651}">
            <xm:f>NOT(ISERROR(SEARCH("-",M775)))</xm:f>
            <xm:f>"-"</xm:f>
            <x14:dxf/>
          </x14:cfRule>
          <xm:sqref>M775</xm:sqref>
        </x14:conditionalFormatting>
        <x14:conditionalFormatting xmlns:xm="http://schemas.microsoft.com/office/excel/2006/main">
          <x14:cfRule type="containsText" priority="125" stopIfTrue="1" operator="containsText" id="{0C6489B0-C8FF-294F-BB8E-D2F7E9B5FF60}">
            <xm:f>NOT(ISERROR(SEARCH("-",M777)))</xm:f>
            <xm:f>"-"</xm:f>
            <x14:dxf/>
          </x14:cfRule>
          <xm:sqref>M777</xm:sqref>
        </x14:conditionalFormatting>
        <x14:conditionalFormatting xmlns:xm="http://schemas.microsoft.com/office/excel/2006/main">
          <x14:cfRule type="containsText" priority="123" stopIfTrue="1" operator="containsText" id="{EB487B74-459C-6E4D-8B8A-177B6176F53B}">
            <xm:f>NOT(ISERROR(SEARCH("-",M781)))</xm:f>
            <xm:f>"-"</xm:f>
            <x14:dxf/>
          </x14:cfRule>
          <xm:sqref>M781</xm:sqref>
        </x14:conditionalFormatting>
        <x14:conditionalFormatting xmlns:xm="http://schemas.microsoft.com/office/excel/2006/main">
          <x14:cfRule type="containsText" priority="124" stopIfTrue="1" operator="containsText" id="{88C9C464-CFC4-6F4C-B482-38DC1CEC01EC}">
            <xm:f>NOT(ISERROR(SEARCH("-",M783)))</xm:f>
            <xm:f>"-"</xm:f>
            <x14:dxf/>
          </x14:cfRule>
          <xm:sqref>M783</xm:sqref>
        </x14:conditionalFormatting>
        <x14:conditionalFormatting xmlns:xm="http://schemas.microsoft.com/office/excel/2006/main">
          <x14:cfRule type="containsText" priority="122" stopIfTrue="1" operator="containsText" id="{0B8A7447-6E10-ED42-8F41-B1FEA575DD2C}">
            <xm:f>NOT(ISERROR(SEARCH("-",M785)))</xm:f>
            <xm:f>"-"</xm:f>
            <x14:dxf/>
          </x14:cfRule>
          <xm:sqref>M785</xm:sqref>
        </x14:conditionalFormatting>
        <x14:conditionalFormatting xmlns:xm="http://schemas.microsoft.com/office/excel/2006/main">
          <x14:cfRule type="containsText" priority="121" stopIfTrue="1" operator="containsText" id="{C28AF620-C2E5-894F-BCB6-24AAC557ABE5}">
            <xm:f>NOT(ISERROR(SEARCH("-",M787)))</xm:f>
            <xm:f>"-"</xm:f>
            <x14:dxf/>
          </x14:cfRule>
          <xm:sqref>M787</xm:sqref>
        </x14:conditionalFormatting>
        <x14:conditionalFormatting xmlns:xm="http://schemas.microsoft.com/office/excel/2006/main">
          <x14:cfRule type="containsText" priority="119" stopIfTrue="1" operator="containsText" id="{F3069528-690C-6444-8909-0D066BD33190}">
            <xm:f>NOT(ISERROR(SEARCH("-",M791)))</xm:f>
            <xm:f>"-"</xm:f>
            <x14:dxf/>
          </x14:cfRule>
          <xm:sqref>M791</xm:sqref>
        </x14:conditionalFormatting>
        <x14:conditionalFormatting xmlns:xm="http://schemas.microsoft.com/office/excel/2006/main">
          <x14:cfRule type="containsText" priority="120" stopIfTrue="1" operator="containsText" id="{CD45E4A0-B3CB-9949-8F72-DAB9BBB02163}">
            <xm:f>NOT(ISERROR(SEARCH("-",M793)))</xm:f>
            <xm:f>"-"</xm:f>
            <x14:dxf/>
          </x14:cfRule>
          <xm:sqref>M793</xm:sqref>
        </x14:conditionalFormatting>
        <x14:conditionalFormatting xmlns:xm="http://schemas.microsoft.com/office/excel/2006/main">
          <x14:cfRule type="containsText" priority="118" stopIfTrue="1" operator="containsText" id="{7D414E91-7DBE-3B41-9BF9-B52733AA53E3}">
            <xm:f>NOT(ISERROR(SEARCH("-",M795)))</xm:f>
            <xm:f>"-"</xm:f>
            <x14:dxf/>
          </x14:cfRule>
          <xm:sqref>M795</xm:sqref>
        </x14:conditionalFormatting>
        <x14:conditionalFormatting xmlns:xm="http://schemas.microsoft.com/office/excel/2006/main">
          <x14:cfRule type="containsText" priority="117" stopIfTrue="1" operator="containsText" id="{DA8C800C-6736-4A47-8B19-E7B09B240DAA}">
            <xm:f>NOT(ISERROR(SEARCH("-",M797)))</xm:f>
            <xm:f>"-"</xm:f>
            <x14:dxf/>
          </x14:cfRule>
          <xm:sqref>M797</xm:sqref>
        </x14:conditionalFormatting>
        <x14:conditionalFormatting xmlns:xm="http://schemas.microsoft.com/office/excel/2006/main">
          <x14:cfRule type="containsText" priority="115" stopIfTrue="1" operator="containsText" id="{C1E87088-3510-8C41-BC30-98AF31FBFA9A}">
            <xm:f>NOT(ISERROR(SEARCH("-",M801)))</xm:f>
            <xm:f>"-"</xm:f>
            <x14:dxf/>
          </x14:cfRule>
          <xm:sqref>M801</xm:sqref>
        </x14:conditionalFormatting>
        <x14:conditionalFormatting xmlns:xm="http://schemas.microsoft.com/office/excel/2006/main">
          <x14:cfRule type="containsText" priority="116" stopIfTrue="1" operator="containsText" id="{77F027B8-3FAA-604C-B077-B2586EAAB06C}">
            <xm:f>NOT(ISERROR(SEARCH("-",M803)))</xm:f>
            <xm:f>"-"</xm:f>
            <x14:dxf/>
          </x14:cfRule>
          <xm:sqref>M803</xm:sqref>
        </x14:conditionalFormatting>
        <x14:conditionalFormatting xmlns:xm="http://schemas.microsoft.com/office/excel/2006/main">
          <x14:cfRule type="containsText" priority="114" stopIfTrue="1" operator="containsText" id="{A771643C-3361-1A45-B17E-AE2DD94C0EC2}">
            <xm:f>NOT(ISERROR(SEARCH("-",M805)))</xm:f>
            <xm:f>"-"</xm:f>
            <x14:dxf/>
          </x14:cfRule>
          <xm:sqref>M805</xm:sqref>
        </x14:conditionalFormatting>
        <x14:conditionalFormatting xmlns:xm="http://schemas.microsoft.com/office/excel/2006/main">
          <x14:cfRule type="containsText" priority="113" stopIfTrue="1" operator="containsText" id="{F7EB59E0-EF2D-1443-9A61-FA6B11809C5A}">
            <xm:f>NOT(ISERROR(SEARCH("-",M807)))</xm:f>
            <xm:f>"-"</xm:f>
            <x14:dxf/>
          </x14:cfRule>
          <xm:sqref>M807</xm:sqref>
        </x14:conditionalFormatting>
        <x14:conditionalFormatting xmlns:xm="http://schemas.microsoft.com/office/excel/2006/main">
          <x14:cfRule type="containsText" priority="111" stopIfTrue="1" operator="containsText" id="{328F4408-BCD4-7847-89AA-B61D96D9EA26}">
            <xm:f>NOT(ISERROR(SEARCH("-",M811)))</xm:f>
            <xm:f>"-"</xm:f>
            <x14:dxf/>
          </x14:cfRule>
          <xm:sqref>M811</xm:sqref>
        </x14:conditionalFormatting>
        <x14:conditionalFormatting xmlns:xm="http://schemas.microsoft.com/office/excel/2006/main">
          <x14:cfRule type="containsText" priority="112" stopIfTrue="1" operator="containsText" id="{4AE1CCA3-6D6C-404F-944C-7E4E068DD973}">
            <xm:f>NOT(ISERROR(SEARCH("-",M813)))</xm:f>
            <xm:f>"-"</xm:f>
            <x14:dxf/>
          </x14:cfRule>
          <xm:sqref>M813</xm:sqref>
        </x14:conditionalFormatting>
        <x14:conditionalFormatting xmlns:xm="http://schemas.microsoft.com/office/excel/2006/main">
          <x14:cfRule type="containsText" priority="110" stopIfTrue="1" operator="containsText" id="{870D8B58-2A88-AA4A-97E0-582A05D47DDB}">
            <xm:f>NOT(ISERROR(SEARCH("-",M815)))</xm:f>
            <xm:f>"-"</xm:f>
            <x14:dxf/>
          </x14:cfRule>
          <xm:sqref>M815</xm:sqref>
        </x14:conditionalFormatting>
        <x14:conditionalFormatting xmlns:xm="http://schemas.microsoft.com/office/excel/2006/main">
          <x14:cfRule type="containsText" priority="109" stopIfTrue="1" operator="containsText" id="{702CDE76-5969-1048-B6E4-443028931AA9}">
            <xm:f>NOT(ISERROR(SEARCH("-",M817)))</xm:f>
            <xm:f>"-"</xm:f>
            <x14:dxf/>
          </x14:cfRule>
          <xm:sqref>M817</xm:sqref>
        </x14:conditionalFormatting>
        <x14:conditionalFormatting xmlns:xm="http://schemas.microsoft.com/office/excel/2006/main">
          <x14:cfRule type="containsText" priority="107" stopIfTrue="1" operator="containsText" id="{5EFE84E9-6C27-7641-9588-B1B58AC3BDA8}">
            <xm:f>NOT(ISERROR(SEARCH("-",M821)))</xm:f>
            <xm:f>"-"</xm:f>
            <x14:dxf/>
          </x14:cfRule>
          <xm:sqref>M821</xm:sqref>
        </x14:conditionalFormatting>
        <x14:conditionalFormatting xmlns:xm="http://schemas.microsoft.com/office/excel/2006/main">
          <x14:cfRule type="containsText" priority="108" stopIfTrue="1" operator="containsText" id="{E91746C4-0B7D-1D47-9B10-97B328861FC1}">
            <xm:f>NOT(ISERROR(SEARCH("-",M823)))</xm:f>
            <xm:f>"-"</xm:f>
            <x14:dxf/>
          </x14:cfRule>
          <xm:sqref>M823</xm:sqref>
        </x14:conditionalFormatting>
        <x14:conditionalFormatting xmlns:xm="http://schemas.microsoft.com/office/excel/2006/main">
          <x14:cfRule type="containsText" priority="106" stopIfTrue="1" operator="containsText" id="{55DCA59E-0AA8-C943-A476-559609C31476}">
            <xm:f>NOT(ISERROR(SEARCH("-",M825)))</xm:f>
            <xm:f>"-"</xm:f>
            <x14:dxf/>
          </x14:cfRule>
          <xm:sqref>M825</xm:sqref>
        </x14:conditionalFormatting>
        <x14:conditionalFormatting xmlns:xm="http://schemas.microsoft.com/office/excel/2006/main">
          <x14:cfRule type="containsText" priority="105" stopIfTrue="1" operator="containsText" id="{51597385-7225-2F4C-86C9-B8D4EAF0A32A}">
            <xm:f>NOT(ISERROR(SEARCH("-",M827)))</xm:f>
            <xm:f>"-"</xm:f>
            <x14:dxf/>
          </x14:cfRule>
          <xm:sqref>M827</xm:sqref>
        </x14:conditionalFormatting>
        <x14:conditionalFormatting xmlns:xm="http://schemas.microsoft.com/office/excel/2006/main">
          <x14:cfRule type="containsText" priority="103" stopIfTrue="1" operator="containsText" id="{D385F16D-72BF-094D-9B29-08DA314B0E10}">
            <xm:f>NOT(ISERROR(SEARCH("-",M831)))</xm:f>
            <xm:f>"-"</xm:f>
            <x14:dxf/>
          </x14:cfRule>
          <xm:sqref>M831</xm:sqref>
        </x14:conditionalFormatting>
        <x14:conditionalFormatting xmlns:xm="http://schemas.microsoft.com/office/excel/2006/main">
          <x14:cfRule type="containsText" priority="104" stopIfTrue="1" operator="containsText" id="{BB64E523-6985-6F4A-8809-943F047E97E0}">
            <xm:f>NOT(ISERROR(SEARCH("-",M833)))</xm:f>
            <xm:f>"-"</xm:f>
            <x14:dxf/>
          </x14:cfRule>
          <xm:sqref>M833</xm:sqref>
        </x14:conditionalFormatting>
        <x14:conditionalFormatting xmlns:xm="http://schemas.microsoft.com/office/excel/2006/main">
          <x14:cfRule type="containsText" priority="102" stopIfTrue="1" operator="containsText" id="{D995845E-5B7C-4742-87B3-3BAB1168BD16}">
            <xm:f>NOT(ISERROR(SEARCH("-",M835)))</xm:f>
            <xm:f>"-"</xm:f>
            <x14:dxf/>
          </x14:cfRule>
          <xm:sqref>M835</xm:sqref>
        </x14:conditionalFormatting>
        <x14:conditionalFormatting xmlns:xm="http://schemas.microsoft.com/office/excel/2006/main">
          <x14:cfRule type="containsText" priority="101" stopIfTrue="1" operator="containsText" id="{B2604C36-E9D8-034A-A159-BA5EF725ECA9}">
            <xm:f>NOT(ISERROR(SEARCH("-",M837)))</xm:f>
            <xm:f>"-"</xm:f>
            <x14:dxf/>
          </x14:cfRule>
          <xm:sqref>M837</xm:sqref>
        </x14:conditionalFormatting>
        <x14:conditionalFormatting xmlns:xm="http://schemas.microsoft.com/office/excel/2006/main">
          <x14:cfRule type="containsText" priority="99" stopIfTrue="1" operator="containsText" id="{C980CCDC-5AB3-D449-B274-40B6F6E161FB}">
            <xm:f>NOT(ISERROR(SEARCH("-",M841)))</xm:f>
            <xm:f>"-"</xm:f>
            <x14:dxf/>
          </x14:cfRule>
          <xm:sqref>M841</xm:sqref>
        </x14:conditionalFormatting>
        <x14:conditionalFormatting xmlns:xm="http://schemas.microsoft.com/office/excel/2006/main">
          <x14:cfRule type="containsText" priority="100" stopIfTrue="1" operator="containsText" id="{FF811CCD-FB25-814C-8C63-8310194CD320}">
            <xm:f>NOT(ISERROR(SEARCH("-",M843)))</xm:f>
            <xm:f>"-"</xm:f>
            <x14:dxf/>
          </x14:cfRule>
          <xm:sqref>M843</xm:sqref>
        </x14:conditionalFormatting>
        <x14:conditionalFormatting xmlns:xm="http://schemas.microsoft.com/office/excel/2006/main">
          <x14:cfRule type="containsText" priority="98" stopIfTrue="1" operator="containsText" id="{BEB35BFF-AF40-8846-9229-0AE813A5B33E}">
            <xm:f>NOT(ISERROR(SEARCH("-",M845)))</xm:f>
            <xm:f>"-"</xm:f>
            <x14:dxf/>
          </x14:cfRule>
          <xm:sqref>M845</xm:sqref>
        </x14:conditionalFormatting>
        <x14:conditionalFormatting xmlns:xm="http://schemas.microsoft.com/office/excel/2006/main">
          <x14:cfRule type="containsText" priority="97" stopIfTrue="1" operator="containsText" id="{85DA507F-F84C-E841-9C40-FB310B2F12FA}">
            <xm:f>NOT(ISERROR(SEARCH("-",M847)))</xm:f>
            <xm:f>"-"</xm:f>
            <x14:dxf/>
          </x14:cfRule>
          <xm:sqref>M847</xm:sqref>
        </x14:conditionalFormatting>
        <x14:conditionalFormatting xmlns:xm="http://schemas.microsoft.com/office/excel/2006/main">
          <x14:cfRule type="containsText" priority="95" stopIfTrue="1" operator="containsText" id="{C1457FC8-E136-B44E-AE58-87627BCE8591}">
            <xm:f>NOT(ISERROR(SEARCH("-",M851)))</xm:f>
            <xm:f>"-"</xm:f>
            <x14:dxf/>
          </x14:cfRule>
          <xm:sqref>M851</xm:sqref>
        </x14:conditionalFormatting>
        <x14:conditionalFormatting xmlns:xm="http://schemas.microsoft.com/office/excel/2006/main">
          <x14:cfRule type="containsText" priority="96" stopIfTrue="1" operator="containsText" id="{A30E6490-E05C-2246-BDC9-07CDFE6B3014}">
            <xm:f>NOT(ISERROR(SEARCH("-",M853)))</xm:f>
            <xm:f>"-"</xm:f>
            <x14:dxf/>
          </x14:cfRule>
          <xm:sqref>M853</xm:sqref>
        </x14:conditionalFormatting>
        <x14:conditionalFormatting xmlns:xm="http://schemas.microsoft.com/office/excel/2006/main">
          <x14:cfRule type="containsText" priority="94" stopIfTrue="1" operator="containsText" id="{B4A192B0-4EAA-1E4E-9CD8-2E3FB8BDA9C3}">
            <xm:f>NOT(ISERROR(SEARCH("-",M855)))</xm:f>
            <xm:f>"-"</xm:f>
            <x14:dxf/>
          </x14:cfRule>
          <xm:sqref>M855</xm:sqref>
        </x14:conditionalFormatting>
        <x14:conditionalFormatting xmlns:xm="http://schemas.microsoft.com/office/excel/2006/main">
          <x14:cfRule type="containsText" priority="93" stopIfTrue="1" operator="containsText" id="{F4CD7DA1-09CE-5F42-8C49-7F3200CD124C}">
            <xm:f>NOT(ISERROR(SEARCH("-",M857)))</xm:f>
            <xm:f>"-"</xm:f>
            <x14:dxf/>
          </x14:cfRule>
          <xm:sqref>M857</xm:sqref>
        </x14:conditionalFormatting>
        <x14:conditionalFormatting xmlns:xm="http://schemas.microsoft.com/office/excel/2006/main">
          <x14:cfRule type="containsText" priority="91" stopIfTrue="1" operator="containsText" id="{E5B94673-1C43-794F-BA52-CA5FF7567FC2}">
            <xm:f>NOT(ISERROR(SEARCH("-",M861)))</xm:f>
            <xm:f>"-"</xm:f>
            <x14:dxf/>
          </x14:cfRule>
          <xm:sqref>M861</xm:sqref>
        </x14:conditionalFormatting>
        <x14:conditionalFormatting xmlns:xm="http://schemas.microsoft.com/office/excel/2006/main">
          <x14:cfRule type="containsText" priority="92" stopIfTrue="1" operator="containsText" id="{8331C8BD-1615-B741-AC75-B68ECF6929D9}">
            <xm:f>NOT(ISERROR(SEARCH("-",M863)))</xm:f>
            <xm:f>"-"</xm:f>
            <x14:dxf/>
          </x14:cfRule>
          <xm:sqref>M863</xm:sqref>
        </x14:conditionalFormatting>
        <x14:conditionalFormatting xmlns:xm="http://schemas.microsoft.com/office/excel/2006/main">
          <x14:cfRule type="containsText" priority="90" stopIfTrue="1" operator="containsText" id="{A088E8B8-07AE-4242-9F6C-28458F7C9DCF}">
            <xm:f>NOT(ISERROR(SEARCH("-",M865)))</xm:f>
            <xm:f>"-"</xm:f>
            <x14:dxf/>
          </x14:cfRule>
          <xm:sqref>M865</xm:sqref>
        </x14:conditionalFormatting>
        <x14:conditionalFormatting xmlns:xm="http://schemas.microsoft.com/office/excel/2006/main">
          <x14:cfRule type="containsText" priority="89" stopIfTrue="1" operator="containsText" id="{AB83FED1-FB0D-5847-864F-ACB80F620A3B}">
            <xm:f>NOT(ISERROR(SEARCH("-",M867)))</xm:f>
            <xm:f>"-"</xm:f>
            <x14:dxf/>
          </x14:cfRule>
          <xm:sqref>M867</xm:sqref>
        </x14:conditionalFormatting>
        <x14:conditionalFormatting xmlns:xm="http://schemas.microsoft.com/office/excel/2006/main">
          <x14:cfRule type="containsText" priority="87" stopIfTrue="1" operator="containsText" id="{1A26AEF3-7748-554B-B0DA-42138344616A}">
            <xm:f>NOT(ISERROR(SEARCH("-",M871)))</xm:f>
            <xm:f>"-"</xm:f>
            <x14:dxf/>
          </x14:cfRule>
          <xm:sqref>M871</xm:sqref>
        </x14:conditionalFormatting>
        <x14:conditionalFormatting xmlns:xm="http://schemas.microsoft.com/office/excel/2006/main">
          <x14:cfRule type="containsText" priority="88" stopIfTrue="1" operator="containsText" id="{D381ECF4-729D-FA4E-A7F0-8436D29DB54B}">
            <xm:f>NOT(ISERROR(SEARCH("-",M873)))</xm:f>
            <xm:f>"-"</xm:f>
            <x14:dxf/>
          </x14:cfRule>
          <xm:sqref>M873</xm:sqref>
        </x14:conditionalFormatting>
        <x14:conditionalFormatting xmlns:xm="http://schemas.microsoft.com/office/excel/2006/main">
          <x14:cfRule type="containsText" priority="86" stopIfTrue="1" operator="containsText" id="{8926F8D3-42B2-0A42-B954-1A9778F15A64}">
            <xm:f>NOT(ISERROR(SEARCH("-",M875)))</xm:f>
            <xm:f>"-"</xm:f>
            <x14:dxf/>
          </x14:cfRule>
          <xm:sqref>M875</xm:sqref>
        </x14:conditionalFormatting>
        <x14:conditionalFormatting xmlns:xm="http://schemas.microsoft.com/office/excel/2006/main">
          <x14:cfRule type="containsText" priority="85" stopIfTrue="1" operator="containsText" id="{E370D4E6-8F83-C348-9CEF-AA80C2CCE65B}">
            <xm:f>NOT(ISERROR(SEARCH("-",M877)))</xm:f>
            <xm:f>"-"</xm:f>
            <x14:dxf/>
          </x14:cfRule>
          <xm:sqref>M877</xm:sqref>
        </x14:conditionalFormatting>
        <x14:conditionalFormatting xmlns:xm="http://schemas.microsoft.com/office/excel/2006/main">
          <x14:cfRule type="containsText" priority="83" stopIfTrue="1" operator="containsText" id="{144C01AC-9F88-DE40-8C7A-F1794A18AF25}">
            <xm:f>NOT(ISERROR(SEARCH("-",M881)))</xm:f>
            <xm:f>"-"</xm:f>
            <x14:dxf/>
          </x14:cfRule>
          <xm:sqref>M881</xm:sqref>
        </x14:conditionalFormatting>
        <x14:conditionalFormatting xmlns:xm="http://schemas.microsoft.com/office/excel/2006/main">
          <x14:cfRule type="containsText" priority="84" stopIfTrue="1" operator="containsText" id="{3C58605C-ADBB-2A48-B3F7-726418C072D0}">
            <xm:f>NOT(ISERROR(SEARCH("-",M883)))</xm:f>
            <xm:f>"-"</xm:f>
            <x14:dxf/>
          </x14:cfRule>
          <xm:sqref>M883</xm:sqref>
        </x14:conditionalFormatting>
        <x14:conditionalFormatting xmlns:xm="http://schemas.microsoft.com/office/excel/2006/main">
          <x14:cfRule type="containsText" priority="82" stopIfTrue="1" operator="containsText" id="{511D6B94-95F7-9443-92D0-C7D2A1C3A103}">
            <xm:f>NOT(ISERROR(SEARCH("-",M885)))</xm:f>
            <xm:f>"-"</xm:f>
            <x14:dxf/>
          </x14:cfRule>
          <xm:sqref>M885</xm:sqref>
        </x14:conditionalFormatting>
        <x14:conditionalFormatting xmlns:xm="http://schemas.microsoft.com/office/excel/2006/main">
          <x14:cfRule type="containsText" priority="81" stopIfTrue="1" operator="containsText" id="{D3279C02-8D4B-2243-AFB5-8C7E69122B41}">
            <xm:f>NOT(ISERROR(SEARCH("-",M887)))</xm:f>
            <xm:f>"-"</xm:f>
            <x14:dxf/>
          </x14:cfRule>
          <xm:sqref>M887</xm:sqref>
        </x14:conditionalFormatting>
        <x14:conditionalFormatting xmlns:xm="http://schemas.microsoft.com/office/excel/2006/main">
          <x14:cfRule type="containsText" priority="79" stopIfTrue="1" operator="containsText" id="{BDDAB4C4-02D9-9043-B953-75A99574B053}">
            <xm:f>NOT(ISERROR(SEARCH("-",M891)))</xm:f>
            <xm:f>"-"</xm:f>
            <x14:dxf/>
          </x14:cfRule>
          <xm:sqref>M891</xm:sqref>
        </x14:conditionalFormatting>
        <x14:conditionalFormatting xmlns:xm="http://schemas.microsoft.com/office/excel/2006/main">
          <x14:cfRule type="containsText" priority="80" stopIfTrue="1" operator="containsText" id="{AD824AC2-62E1-4F4F-AF5A-06B98D942434}">
            <xm:f>NOT(ISERROR(SEARCH("-",M893)))</xm:f>
            <xm:f>"-"</xm:f>
            <x14:dxf/>
          </x14:cfRule>
          <xm:sqref>M893</xm:sqref>
        </x14:conditionalFormatting>
        <x14:conditionalFormatting xmlns:xm="http://schemas.microsoft.com/office/excel/2006/main">
          <x14:cfRule type="containsText" priority="78" stopIfTrue="1" operator="containsText" id="{F4865AEE-1487-4F4D-B7DC-14E4FF85D85A}">
            <xm:f>NOT(ISERROR(SEARCH("-",M895)))</xm:f>
            <xm:f>"-"</xm:f>
            <x14:dxf/>
          </x14:cfRule>
          <xm:sqref>M895</xm:sqref>
        </x14:conditionalFormatting>
        <x14:conditionalFormatting xmlns:xm="http://schemas.microsoft.com/office/excel/2006/main">
          <x14:cfRule type="containsText" priority="77" stopIfTrue="1" operator="containsText" id="{8D58554D-46EF-0744-BB41-FC9045DA0705}">
            <xm:f>NOT(ISERROR(SEARCH("-",M897)))</xm:f>
            <xm:f>"-"</xm:f>
            <x14:dxf/>
          </x14:cfRule>
          <xm:sqref>M897</xm:sqref>
        </x14:conditionalFormatting>
        <x14:conditionalFormatting xmlns:xm="http://schemas.microsoft.com/office/excel/2006/main">
          <x14:cfRule type="containsText" priority="75" stopIfTrue="1" operator="containsText" id="{149769AF-2E06-7A40-A85C-E19DCA529533}">
            <xm:f>NOT(ISERROR(SEARCH("-",M901)))</xm:f>
            <xm:f>"-"</xm:f>
            <x14:dxf/>
          </x14:cfRule>
          <xm:sqref>M901</xm:sqref>
        </x14:conditionalFormatting>
        <x14:conditionalFormatting xmlns:xm="http://schemas.microsoft.com/office/excel/2006/main">
          <x14:cfRule type="containsText" priority="76" stopIfTrue="1" operator="containsText" id="{EBBD49AA-92FC-CE4F-B596-3E4444F89CCC}">
            <xm:f>NOT(ISERROR(SEARCH("-",M903)))</xm:f>
            <xm:f>"-"</xm:f>
            <x14:dxf/>
          </x14:cfRule>
          <xm:sqref>M903</xm:sqref>
        </x14:conditionalFormatting>
        <x14:conditionalFormatting xmlns:xm="http://schemas.microsoft.com/office/excel/2006/main">
          <x14:cfRule type="containsText" priority="74" stopIfTrue="1" operator="containsText" id="{1568C899-4980-3A47-9AF5-2D87C7B544F3}">
            <xm:f>NOT(ISERROR(SEARCH("-",M905)))</xm:f>
            <xm:f>"-"</xm:f>
            <x14:dxf/>
          </x14:cfRule>
          <xm:sqref>M905</xm:sqref>
        </x14:conditionalFormatting>
        <x14:conditionalFormatting xmlns:xm="http://schemas.microsoft.com/office/excel/2006/main">
          <x14:cfRule type="containsText" priority="73" stopIfTrue="1" operator="containsText" id="{68D7363B-AB1E-D746-B723-E2DB0DB57768}">
            <xm:f>NOT(ISERROR(SEARCH("-",M907)))</xm:f>
            <xm:f>"-"</xm:f>
            <x14:dxf/>
          </x14:cfRule>
          <xm:sqref>M907</xm:sqref>
        </x14:conditionalFormatting>
        <x14:conditionalFormatting xmlns:xm="http://schemas.microsoft.com/office/excel/2006/main">
          <x14:cfRule type="containsText" priority="71" stopIfTrue="1" operator="containsText" id="{C076B981-F998-BE46-9CD2-1FAB2622BB95}">
            <xm:f>NOT(ISERROR(SEARCH("-",M911)))</xm:f>
            <xm:f>"-"</xm:f>
            <x14:dxf/>
          </x14:cfRule>
          <xm:sqref>M911</xm:sqref>
        </x14:conditionalFormatting>
        <x14:conditionalFormatting xmlns:xm="http://schemas.microsoft.com/office/excel/2006/main">
          <x14:cfRule type="containsText" priority="72" stopIfTrue="1" operator="containsText" id="{6EFBF776-25B5-1940-913C-FD6AF272C176}">
            <xm:f>NOT(ISERROR(SEARCH("-",M913)))</xm:f>
            <xm:f>"-"</xm:f>
            <x14:dxf/>
          </x14:cfRule>
          <xm:sqref>M913</xm:sqref>
        </x14:conditionalFormatting>
        <x14:conditionalFormatting xmlns:xm="http://schemas.microsoft.com/office/excel/2006/main">
          <x14:cfRule type="containsText" priority="70" stopIfTrue="1" operator="containsText" id="{C0724796-530B-3E4D-A97F-7D62F1F3F05C}">
            <xm:f>NOT(ISERROR(SEARCH("-",M915)))</xm:f>
            <xm:f>"-"</xm:f>
            <x14:dxf/>
          </x14:cfRule>
          <xm:sqref>M915</xm:sqref>
        </x14:conditionalFormatting>
        <x14:conditionalFormatting xmlns:xm="http://schemas.microsoft.com/office/excel/2006/main">
          <x14:cfRule type="containsText" priority="69" stopIfTrue="1" operator="containsText" id="{AA15D711-4DF5-0347-B31B-6C549B4038EB}">
            <xm:f>NOT(ISERROR(SEARCH("-",M917)))</xm:f>
            <xm:f>"-"</xm:f>
            <x14:dxf/>
          </x14:cfRule>
          <xm:sqref>M917</xm:sqref>
        </x14:conditionalFormatting>
        <x14:conditionalFormatting xmlns:xm="http://schemas.microsoft.com/office/excel/2006/main">
          <x14:cfRule type="containsText" priority="67" stopIfTrue="1" operator="containsText" id="{EC1E3DD3-C826-504E-A2D6-EE859230E963}">
            <xm:f>NOT(ISERROR(SEARCH("-",M921)))</xm:f>
            <xm:f>"-"</xm:f>
            <x14:dxf/>
          </x14:cfRule>
          <xm:sqref>M921</xm:sqref>
        </x14:conditionalFormatting>
        <x14:conditionalFormatting xmlns:xm="http://schemas.microsoft.com/office/excel/2006/main">
          <x14:cfRule type="containsText" priority="68" stopIfTrue="1" operator="containsText" id="{CC95CB9E-E7D2-F240-A786-4CFBCAE22E65}">
            <xm:f>NOT(ISERROR(SEARCH("-",M923)))</xm:f>
            <xm:f>"-"</xm:f>
            <x14:dxf/>
          </x14:cfRule>
          <xm:sqref>M923</xm:sqref>
        </x14:conditionalFormatting>
        <x14:conditionalFormatting xmlns:xm="http://schemas.microsoft.com/office/excel/2006/main">
          <x14:cfRule type="containsText" priority="66" stopIfTrue="1" operator="containsText" id="{3F82BFB9-BC97-2D43-BD19-B357E86A438B}">
            <xm:f>NOT(ISERROR(SEARCH("-",M925)))</xm:f>
            <xm:f>"-"</xm:f>
            <x14:dxf/>
          </x14:cfRule>
          <xm:sqref>M925</xm:sqref>
        </x14:conditionalFormatting>
        <x14:conditionalFormatting xmlns:xm="http://schemas.microsoft.com/office/excel/2006/main">
          <x14:cfRule type="containsText" priority="65" stopIfTrue="1" operator="containsText" id="{4463D7C4-2164-E447-81DB-761DB37873BC}">
            <xm:f>NOT(ISERROR(SEARCH("-",M927)))</xm:f>
            <xm:f>"-"</xm:f>
            <x14:dxf/>
          </x14:cfRule>
          <xm:sqref>M927</xm:sqref>
        </x14:conditionalFormatting>
        <x14:conditionalFormatting xmlns:xm="http://schemas.microsoft.com/office/excel/2006/main">
          <x14:cfRule type="containsText" priority="63" stopIfTrue="1" operator="containsText" id="{61A21972-2854-AC4B-8F22-939BCC30F07D}">
            <xm:f>NOT(ISERROR(SEARCH("-",M931)))</xm:f>
            <xm:f>"-"</xm:f>
            <x14:dxf/>
          </x14:cfRule>
          <xm:sqref>M931</xm:sqref>
        </x14:conditionalFormatting>
        <x14:conditionalFormatting xmlns:xm="http://schemas.microsoft.com/office/excel/2006/main">
          <x14:cfRule type="containsText" priority="64" stopIfTrue="1" operator="containsText" id="{F88A6208-C488-7440-881F-62DF3147BCAB}">
            <xm:f>NOT(ISERROR(SEARCH("-",M933)))</xm:f>
            <xm:f>"-"</xm:f>
            <x14:dxf/>
          </x14:cfRule>
          <xm:sqref>M933</xm:sqref>
        </x14:conditionalFormatting>
        <x14:conditionalFormatting xmlns:xm="http://schemas.microsoft.com/office/excel/2006/main">
          <x14:cfRule type="containsText" priority="62" stopIfTrue="1" operator="containsText" id="{7A42BBB5-ACE1-EA4D-AC53-910320757066}">
            <xm:f>NOT(ISERROR(SEARCH("-",M935)))</xm:f>
            <xm:f>"-"</xm:f>
            <x14:dxf/>
          </x14:cfRule>
          <xm:sqref>M935</xm:sqref>
        </x14:conditionalFormatting>
        <x14:conditionalFormatting xmlns:xm="http://schemas.microsoft.com/office/excel/2006/main">
          <x14:cfRule type="containsText" priority="61" stopIfTrue="1" operator="containsText" id="{2DFBDD7C-2BA5-4842-A34C-C02156DE49E5}">
            <xm:f>NOT(ISERROR(SEARCH("-",M937)))</xm:f>
            <xm:f>"-"</xm:f>
            <x14:dxf/>
          </x14:cfRule>
          <xm:sqref>M937</xm:sqref>
        </x14:conditionalFormatting>
        <x14:conditionalFormatting xmlns:xm="http://schemas.microsoft.com/office/excel/2006/main">
          <x14:cfRule type="containsText" priority="59" stopIfTrue="1" operator="containsText" id="{77DD9665-797B-F64A-9637-B9D3EA9837A9}">
            <xm:f>NOT(ISERROR(SEARCH("-",M941)))</xm:f>
            <xm:f>"-"</xm:f>
            <x14:dxf/>
          </x14:cfRule>
          <xm:sqref>M941</xm:sqref>
        </x14:conditionalFormatting>
        <x14:conditionalFormatting xmlns:xm="http://schemas.microsoft.com/office/excel/2006/main">
          <x14:cfRule type="containsText" priority="60" stopIfTrue="1" operator="containsText" id="{AFBE8B47-E643-4F45-BB28-17403C4D3344}">
            <xm:f>NOT(ISERROR(SEARCH("-",M943)))</xm:f>
            <xm:f>"-"</xm:f>
            <x14:dxf/>
          </x14:cfRule>
          <xm:sqref>M943</xm:sqref>
        </x14:conditionalFormatting>
        <x14:conditionalFormatting xmlns:xm="http://schemas.microsoft.com/office/excel/2006/main">
          <x14:cfRule type="containsText" priority="58" stopIfTrue="1" operator="containsText" id="{BC8AE46E-A46D-714D-8627-01B1EB13DF4C}">
            <xm:f>NOT(ISERROR(SEARCH("-",M945)))</xm:f>
            <xm:f>"-"</xm:f>
            <x14:dxf/>
          </x14:cfRule>
          <xm:sqref>M945</xm:sqref>
        </x14:conditionalFormatting>
        <x14:conditionalFormatting xmlns:xm="http://schemas.microsoft.com/office/excel/2006/main">
          <x14:cfRule type="containsText" priority="57" stopIfTrue="1" operator="containsText" id="{F8AA7016-9B44-434D-8E4D-65F3152E5970}">
            <xm:f>NOT(ISERROR(SEARCH("-",M947)))</xm:f>
            <xm:f>"-"</xm:f>
            <x14:dxf/>
          </x14:cfRule>
          <xm:sqref>M947</xm:sqref>
        </x14:conditionalFormatting>
        <x14:conditionalFormatting xmlns:xm="http://schemas.microsoft.com/office/excel/2006/main">
          <x14:cfRule type="containsText" priority="55" stopIfTrue="1" operator="containsText" id="{EDEEC716-24A1-D04E-B05E-75C602844D2D}">
            <xm:f>NOT(ISERROR(SEARCH("-",M951)))</xm:f>
            <xm:f>"-"</xm:f>
            <x14:dxf/>
          </x14:cfRule>
          <xm:sqref>M951</xm:sqref>
        </x14:conditionalFormatting>
        <x14:conditionalFormatting xmlns:xm="http://schemas.microsoft.com/office/excel/2006/main">
          <x14:cfRule type="containsText" priority="56" stopIfTrue="1" operator="containsText" id="{218503EE-3822-E348-87A0-A25252865B9E}">
            <xm:f>NOT(ISERROR(SEARCH("-",M953)))</xm:f>
            <xm:f>"-"</xm:f>
            <x14:dxf/>
          </x14:cfRule>
          <xm:sqref>M953</xm:sqref>
        </x14:conditionalFormatting>
        <x14:conditionalFormatting xmlns:xm="http://schemas.microsoft.com/office/excel/2006/main">
          <x14:cfRule type="containsText" priority="54" stopIfTrue="1" operator="containsText" id="{6009A753-E031-5944-9054-A2850342579B}">
            <xm:f>NOT(ISERROR(SEARCH("-",M955)))</xm:f>
            <xm:f>"-"</xm:f>
            <x14:dxf/>
          </x14:cfRule>
          <xm:sqref>M955</xm:sqref>
        </x14:conditionalFormatting>
        <x14:conditionalFormatting xmlns:xm="http://schemas.microsoft.com/office/excel/2006/main">
          <x14:cfRule type="containsText" priority="53" stopIfTrue="1" operator="containsText" id="{E3369662-C040-FF47-AD2D-EE8122A62AC6}">
            <xm:f>NOT(ISERROR(SEARCH("-",M957)))</xm:f>
            <xm:f>"-"</xm:f>
            <x14:dxf/>
          </x14:cfRule>
          <xm:sqref>M957</xm:sqref>
        </x14:conditionalFormatting>
        <x14:conditionalFormatting xmlns:xm="http://schemas.microsoft.com/office/excel/2006/main">
          <x14:cfRule type="containsText" priority="51" stopIfTrue="1" operator="containsText" id="{C82321A6-8BC3-EE4B-AB28-ABF4EFD0EC22}">
            <xm:f>NOT(ISERROR(SEARCH("-",M961)))</xm:f>
            <xm:f>"-"</xm:f>
            <x14:dxf/>
          </x14:cfRule>
          <xm:sqref>M961</xm:sqref>
        </x14:conditionalFormatting>
        <x14:conditionalFormatting xmlns:xm="http://schemas.microsoft.com/office/excel/2006/main">
          <x14:cfRule type="containsText" priority="52" stopIfTrue="1" operator="containsText" id="{FEEED218-2CB9-FF4F-90A2-E5F64AB4773A}">
            <xm:f>NOT(ISERROR(SEARCH("-",M963)))</xm:f>
            <xm:f>"-"</xm:f>
            <x14:dxf/>
          </x14:cfRule>
          <xm:sqref>M963</xm:sqref>
        </x14:conditionalFormatting>
        <x14:conditionalFormatting xmlns:xm="http://schemas.microsoft.com/office/excel/2006/main">
          <x14:cfRule type="containsText" priority="50" stopIfTrue="1" operator="containsText" id="{7DF0F34B-769A-7243-9AB1-E871259C586A}">
            <xm:f>NOT(ISERROR(SEARCH("-",M965)))</xm:f>
            <xm:f>"-"</xm:f>
            <x14:dxf/>
          </x14:cfRule>
          <xm:sqref>M965</xm:sqref>
        </x14:conditionalFormatting>
        <x14:conditionalFormatting xmlns:xm="http://schemas.microsoft.com/office/excel/2006/main">
          <x14:cfRule type="containsText" priority="49" stopIfTrue="1" operator="containsText" id="{80D66259-4515-1146-8529-9F13D97FE11F}">
            <xm:f>NOT(ISERROR(SEARCH("-",M967)))</xm:f>
            <xm:f>"-"</xm:f>
            <x14:dxf/>
          </x14:cfRule>
          <xm:sqref>M967</xm:sqref>
        </x14:conditionalFormatting>
        <x14:conditionalFormatting xmlns:xm="http://schemas.microsoft.com/office/excel/2006/main">
          <x14:cfRule type="containsText" priority="3" stopIfTrue="1" operator="containsText" id="{02C5229F-78DB-4741-9D33-5A5E8C43573F}">
            <xm:f>NOT(ISERROR(SEARCH("-",M971)))</xm:f>
            <xm:f>"-"</xm:f>
            <x14:dxf/>
          </x14:cfRule>
          <xm:sqref>M971</xm:sqref>
        </x14:conditionalFormatting>
        <x14:conditionalFormatting xmlns:xm="http://schemas.microsoft.com/office/excel/2006/main">
          <x14:cfRule type="containsText" priority="4" stopIfTrue="1" operator="containsText" id="{AE131CAD-0EA0-7F49-8A93-327A5AD8BAC4}">
            <xm:f>NOT(ISERROR(SEARCH("-",M973)))</xm:f>
            <xm:f>"-"</xm:f>
            <x14:dxf/>
          </x14:cfRule>
          <xm:sqref>M973</xm:sqref>
        </x14:conditionalFormatting>
        <x14:conditionalFormatting xmlns:xm="http://schemas.microsoft.com/office/excel/2006/main">
          <x14:cfRule type="containsText" priority="2" stopIfTrue="1" operator="containsText" id="{6E6647C6-D961-9F4B-90D6-83E6B37A8BDB}">
            <xm:f>NOT(ISERROR(SEARCH("-",M975)))</xm:f>
            <xm:f>"-"</xm:f>
            <x14:dxf/>
          </x14:cfRule>
          <xm:sqref>M975</xm:sqref>
        </x14:conditionalFormatting>
        <x14:conditionalFormatting xmlns:xm="http://schemas.microsoft.com/office/excel/2006/main">
          <x14:cfRule type="containsText" priority="1" stopIfTrue="1" operator="containsText" id="{2F9F953A-55CF-F640-BACD-2626B0D8288C}">
            <xm:f>NOT(ISERROR(SEARCH("-",M977)))</xm:f>
            <xm:f>"-"</xm:f>
            <x14:dxf/>
          </x14:cfRule>
          <xm:sqref>M977</xm:sqref>
        </x14:conditionalFormatting>
        <x14:conditionalFormatting xmlns:xm="http://schemas.microsoft.com/office/excel/2006/main">
          <x14:cfRule type="containsText" priority="47" stopIfTrue="1" operator="containsText" id="{A1697F52-A0BE-9641-9CD6-B4F8605EB12E}">
            <xm:f>NOT(ISERROR(SEARCH("-",M981)))</xm:f>
            <xm:f>"-"</xm:f>
            <x14:dxf/>
          </x14:cfRule>
          <xm:sqref>M981</xm:sqref>
        </x14:conditionalFormatting>
        <x14:conditionalFormatting xmlns:xm="http://schemas.microsoft.com/office/excel/2006/main">
          <x14:cfRule type="containsText" priority="48" stopIfTrue="1" operator="containsText" id="{447EC82D-7274-CF4F-931B-04D4FF6F955A}">
            <xm:f>NOT(ISERROR(SEARCH("-",M983)))</xm:f>
            <xm:f>"-"</xm:f>
            <x14:dxf/>
          </x14:cfRule>
          <xm:sqref>M983</xm:sqref>
        </x14:conditionalFormatting>
        <x14:conditionalFormatting xmlns:xm="http://schemas.microsoft.com/office/excel/2006/main">
          <x14:cfRule type="containsText" priority="46" stopIfTrue="1" operator="containsText" id="{FA849083-48F7-C040-983A-5544A119149B}">
            <xm:f>NOT(ISERROR(SEARCH("-",M985)))</xm:f>
            <xm:f>"-"</xm:f>
            <x14:dxf/>
          </x14:cfRule>
          <xm:sqref>M985</xm:sqref>
        </x14:conditionalFormatting>
        <x14:conditionalFormatting xmlns:xm="http://schemas.microsoft.com/office/excel/2006/main">
          <x14:cfRule type="containsText" priority="45" stopIfTrue="1" operator="containsText" id="{125CBD69-CFC2-8C48-892C-0C8DACD933B5}">
            <xm:f>NOT(ISERROR(SEARCH("-",M987)))</xm:f>
            <xm:f>"-"</xm:f>
            <x14:dxf/>
          </x14:cfRule>
          <xm:sqref>M987</xm:sqref>
        </x14:conditionalFormatting>
        <x14:conditionalFormatting xmlns:xm="http://schemas.microsoft.com/office/excel/2006/main">
          <x14:cfRule type="containsText" priority="43" stopIfTrue="1" operator="containsText" id="{5FB4FE29-E93F-DA40-B93A-B6B31213B9D0}">
            <xm:f>NOT(ISERROR(SEARCH("-",M991)))</xm:f>
            <xm:f>"-"</xm:f>
            <x14:dxf/>
          </x14:cfRule>
          <xm:sqref>M991</xm:sqref>
        </x14:conditionalFormatting>
        <x14:conditionalFormatting xmlns:xm="http://schemas.microsoft.com/office/excel/2006/main">
          <x14:cfRule type="containsText" priority="44" stopIfTrue="1" operator="containsText" id="{128DFE86-7075-FA4E-BBD0-24EC4531AD5F}">
            <xm:f>NOT(ISERROR(SEARCH("-",M993)))</xm:f>
            <xm:f>"-"</xm:f>
            <x14:dxf/>
          </x14:cfRule>
          <xm:sqref>M993</xm:sqref>
        </x14:conditionalFormatting>
        <x14:conditionalFormatting xmlns:xm="http://schemas.microsoft.com/office/excel/2006/main">
          <x14:cfRule type="containsText" priority="42" stopIfTrue="1" operator="containsText" id="{4FCA66BC-4C2C-0D47-B7ED-BE29F672A55F}">
            <xm:f>NOT(ISERROR(SEARCH("-",M995)))</xm:f>
            <xm:f>"-"</xm:f>
            <x14:dxf/>
          </x14:cfRule>
          <xm:sqref>M995</xm:sqref>
        </x14:conditionalFormatting>
        <x14:conditionalFormatting xmlns:xm="http://schemas.microsoft.com/office/excel/2006/main">
          <x14:cfRule type="containsText" priority="41" stopIfTrue="1" operator="containsText" id="{842E0EAC-7AB5-E64F-A1AA-CF25677477C5}">
            <xm:f>NOT(ISERROR(SEARCH("-",M997)))</xm:f>
            <xm:f>"-"</xm:f>
            <x14:dxf/>
          </x14:cfRule>
          <xm:sqref>M997</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E6B92-5912-6246-AB63-35CD854AAAD3}">
  <sheetPr codeName="Tabelle8"/>
  <dimension ref="A1:F13"/>
  <sheetViews>
    <sheetView workbookViewId="0"/>
  </sheetViews>
  <sheetFormatPr baseColWidth="10" defaultRowHeight="13"/>
  <cols>
    <col min="1" max="1" width="53.1640625" customWidth="1"/>
    <col min="2" max="2" width="17.83203125" customWidth="1"/>
    <col min="3" max="3" width="4.6640625" customWidth="1"/>
    <col min="4" max="4" width="6.1640625" customWidth="1"/>
    <col min="5" max="5" width="5" customWidth="1"/>
    <col min="6" max="6" width="4.1640625" style="280" customWidth="1"/>
    <col min="7" max="7" width="3.6640625" style="280" customWidth="1"/>
    <col min="8" max="8" width="4.83203125" style="280" customWidth="1"/>
    <col min="9" max="9" width="3.5" style="280" customWidth="1"/>
    <col min="10" max="10" width="6.33203125" style="280" customWidth="1"/>
    <col min="11" max="16384" width="10.83203125" style="280"/>
  </cols>
  <sheetData>
    <row r="1" spans="1:6" ht="35" customHeight="1">
      <c r="A1" s="290" t="s">
        <v>123</v>
      </c>
    </row>
    <row r="2" spans="1:6" ht="28" customHeight="1"/>
    <row r="3" spans="1:6" customFormat="1" ht="29" customHeight="1">
      <c r="A3" s="319" t="str">
        <f>IF(F3&lt;&gt;"", "Einnahmen " &amp; (F3) &amp; " erhalten:", "")</f>
        <v>Einnahmen 2024 erhalten:</v>
      </c>
      <c r="B3" s="319"/>
      <c r="C3" s="319"/>
      <c r="D3" s="319"/>
      <c r="E3" s="319"/>
      <c r="F3" s="289">
        <f>'Übersicht Anträge _ Einnahmen'!C6</f>
        <v>2024</v>
      </c>
    </row>
    <row r="4" spans="1:6" ht="38" customHeight="1">
      <c r="A4" s="282" t="str">
        <f>IF(F3&lt;&gt;"", "Einnahmen aus Anträgen von " &amp; (F3) &amp; " in diesem Jahr erhalten:", "")</f>
        <v>Einnahmen aus Anträgen von 2024 in diesem Jahr erhalten:</v>
      </c>
      <c r="B4" s="292">
        <f>'Übersicht Anträge _ Einnahmen'!E5</f>
        <v>0</v>
      </c>
    </row>
    <row r="5" spans="1:6" ht="38" customHeight="1">
      <c r="A5" s="283" t="str">
        <f>IF(OR(F3=2024, F3=2025), "Davon  Inflationsprämie (steuerfrei) aus Anträgen aus " &amp; (F3) &amp; " erhalten:", "")</f>
        <v>Davon  Inflationsprämie (steuerfrei) aus Anträgen aus 2024 erhalten:</v>
      </c>
      <c r="B5" s="292">
        <f>IF(A5&lt;&gt;"", 'Übersicht Anträge _ Einnahmen'!B4, "")</f>
        <v>0</v>
      </c>
    </row>
    <row r="6" spans="1:6" ht="38" customHeight="1">
      <c r="A6" s="282" t="str">
        <f>IF(F3&lt;&gt;"", "Davon beantragt in " &amp; (F3-1) &amp; " erhalten in " &amp; F3, "")</f>
        <v>Davon beantragt in 2023 erhalten in 2024</v>
      </c>
      <c r="B6" s="292">
        <f>'Übersicht Anträge _ Einnahmen'!D8</f>
        <v>0</v>
      </c>
    </row>
    <row r="7" spans="1:6" ht="38" customHeight="1">
      <c r="A7" s="282" t="str">
        <f>IF(OR(F3=2025, F3=2026), "Davon Inflationsprämie, beantragt in " &amp; (F3-1) &amp; " erhalten in " &amp; F3 &amp; " (steuerfrei):", "")</f>
        <v/>
      </c>
      <c r="B7" s="292" t="str">
        <f>IF(A7&lt;&gt;"", 'Übersicht Anträge _ Einnahmen'!E8, "")</f>
        <v/>
      </c>
    </row>
    <row r="8" spans="1:6" ht="32" customHeight="1">
      <c r="A8" s="282"/>
      <c r="B8" s="281"/>
    </row>
    <row r="9" spans="1:6" ht="38" customHeight="1">
      <c r="A9" s="284" t="s">
        <v>122</v>
      </c>
      <c r="B9" s="291">
        <f>B4+B6</f>
        <v>0</v>
      </c>
    </row>
    <row r="10" spans="1:6" ht="38">
      <c r="A10" s="284" t="s">
        <v>121</v>
      </c>
      <c r="B10" s="291">
        <f>'Übersicht Anträge _ Einnahmen'!E6</f>
        <v>0</v>
      </c>
    </row>
    <row r="13" spans="1:6" ht="38" customHeight="1"/>
  </sheetData>
  <sheetProtection algorithmName="SHA-512" hashValue="DDl7fi5A0hPqEZ0VFlv9y7cXMGThyOoFu4uW5N16GH3kCMdFeCSibN0RbcpUshPt6lWjn/m0DnZXNVd5uZUeBw==" saltValue="X/qFcOOkRrfL2Vy2WBdLgQ==" spinCount="100000" sheet="1" objects="1" scenarios="1"/>
  <pageMargins left="0.7" right="0.7" top="0.78740157499999996" bottom="0.78740157499999996"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8</vt:i4>
      </vt:variant>
      <vt:variant>
        <vt:lpstr>Benannte Bereiche</vt:lpstr>
      </vt:variant>
      <vt:variant>
        <vt:i4>5</vt:i4>
      </vt:variant>
    </vt:vector>
  </HeadingPairs>
  <TitlesOfParts>
    <vt:vector size="13" baseType="lpstr">
      <vt:lpstr>Anleitung</vt:lpstr>
      <vt:lpstr>Aktuelle Einnahmen</vt:lpstr>
      <vt:lpstr>Vergütungsantrag ohne Wechsel</vt:lpstr>
      <vt:lpstr>Wechsel Kategorie</vt:lpstr>
      <vt:lpstr>Wechsel Beginn - Ende</vt:lpstr>
      <vt:lpstr>ges. Pauschalen</vt:lpstr>
      <vt:lpstr>Übersicht Anträge _ Einnahmen</vt:lpstr>
      <vt:lpstr>Übersicht für Steuer</vt:lpstr>
      <vt:lpstr>Anleitung!Druckbereich</vt:lpstr>
      <vt:lpstr>'Übersicht für Steuer'!Druckbereich</vt:lpstr>
      <vt:lpstr>'Vergütungsantrag ohne Wechsel'!Druckbereich</vt:lpstr>
      <vt:lpstr>'Wechsel Beginn - Ende'!Druckbereich</vt:lpstr>
      <vt:lpstr>'Wechsel Kategorie'!Druckbereich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m.ringens@outlook.de</cp:lastModifiedBy>
  <cp:lastPrinted>2024-03-09T21:13:07Z</cp:lastPrinted>
  <dcterms:modified xsi:type="dcterms:W3CDTF">2024-07-02T14:40:39Z</dcterms:modified>
</cp:coreProperties>
</file>